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GRANADA\"/>
    </mc:Choice>
  </mc:AlternateContent>
  <workbookProtection workbookAlgorithmName="SHA-512" workbookHashValue="J0KnldF/IF3qveC/NHmm2FAxeGparz6o/aCuyIXVUV4Swn7Wy/t4NbaQZMLqXpDsJ0oKdsXI+VU408LbaeYVHw==" workbookSaltValue="zT48XMrEQhaFKdKW2AYOs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R8" i="9" s="1"/>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BF17" i="8" s="1"/>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AJ32" i="20"/>
  <c r="G30" i="14"/>
  <c r="G23" i="14"/>
  <c r="U18" i="11"/>
  <c r="AX32" i="20"/>
  <c r="Y32" i="20"/>
  <c r="L32" i="20"/>
  <c r="AG32" i="20"/>
  <c r="H32" i="20"/>
  <c r="T32" i="21"/>
  <c r="F32" i="20"/>
  <c r="AF32" i="20"/>
  <c r="G26" i="14"/>
  <c r="S32" i="20"/>
  <c r="K32" i="20"/>
  <c r="AQ32" i="21"/>
  <c r="O17" i="11"/>
  <c r="E32" i="20"/>
  <c r="M32" i="20"/>
  <c r="AI32" i="20"/>
  <c r="AM32" i="20"/>
  <c r="U10" i="11"/>
  <c r="I32" i="20"/>
  <c r="J32" i="20"/>
  <c r="Q32" i="20"/>
  <c r="AK32" i="20"/>
  <c r="AE32" i="20"/>
  <c r="U12" i="11"/>
  <c r="AU32" i="20"/>
  <c r="AZ32" i="20"/>
  <c r="G14" i="14"/>
  <c r="O18" i="11"/>
  <c r="R32" i="20"/>
  <c r="W32" i="20"/>
  <c r="BF16" i="8" l="1"/>
  <c r="T31" i="8"/>
  <c r="BH11" i="16"/>
  <c r="S20" i="14"/>
  <c r="V20" i="14" s="1"/>
  <c r="BJ21" i="11"/>
  <c r="R18" i="20"/>
  <c r="R23" i="20" s="1"/>
  <c r="BU25" i="17"/>
  <c r="BV21" i="16"/>
  <c r="BV20" i="16"/>
  <c r="BF12" i="11"/>
  <c r="BL22" i="11"/>
  <c r="X21" i="20"/>
  <c r="V25" i="16"/>
  <c r="T9" i="11"/>
  <c r="BH16" i="11"/>
  <c r="BF29" i="11"/>
  <c r="BF22" i="11"/>
  <c r="BM13" i="11"/>
  <c r="BL11" i="11"/>
  <c r="BL21" i="11"/>
  <c r="T18" i="16"/>
  <c r="BG21" i="11"/>
  <c r="BV28" i="16"/>
  <c r="BW13" i="20"/>
  <c r="BU29" i="17"/>
  <c r="BW11" i="20"/>
  <c r="BW28" i="20"/>
  <c r="S11" i="17"/>
  <c r="S25" i="17"/>
  <c r="P16" i="17"/>
  <c r="BH25" i="16"/>
  <c r="BJ10" i="11"/>
  <c r="BF16" i="11"/>
  <c r="BI22" i="11"/>
  <c r="L10" i="2"/>
  <c r="L18" i="2"/>
  <c r="X16" i="16"/>
  <c r="X23" i="16" s="1"/>
  <c r="P18" i="17"/>
  <c r="BK19" i="11"/>
  <c r="BI16" i="11"/>
  <c r="BG9" i="11"/>
  <c r="BK18" i="11"/>
  <c r="AP18" i="20"/>
  <c r="BV13" i="16"/>
  <c r="BV11" i="16"/>
  <c r="S21" i="17"/>
  <c r="BU13" i="17"/>
  <c r="AZ11" i="11"/>
  <c r="BK20" i="11"/>
  <c r="Q16" i="17"/>
  <c r="BK10" i="11"/>
  <c r="L16" i="2"/>
  <c r="L9" i="2"/>
  <c r="R13" i="17"/>
  <c r="P13" i="14"/>
  <c r="BG17" i="13"/>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J23" i="11" s="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Q25" i="11" s="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AA32" i="20"/>
  <c r="AN32" i="20"/>
  <c r="AD32" i="20"/>
  <c r="AC32" i="20"/>
  <c r="AV32" i="20"/>
  <c r="O10" i="11"/>
  <c r="AP32" i="20"/>
  <c r="U17" i="11"/>
  <c r="W32" i="21"/>
  <c r="AQ32" i="20"/>
  <c r="P32" i="20"/>
  <c r="Z32" i="20"/>
  <c r="AB32" i="20"/>
  <c r="N32" i="20"/>
  <c r="AO32" i="20"/>
  <c r="AL32" i="20"/>
  <c r="AH32" i="20"/>
  <c r="X32" i="20"/>
  <c r="T32" i="20"/>
  <c r="K16" i="12" l="1"/>
  <c r="AZ14" i="11"/>
  <c r="I16" i="12"/>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P32" i="16"/>
  <c r="BR32" i="16"/>
  <c r="O12" i="11"/>
  <c r="H32" i="17"/>
  <c r="O32" i="20"/>
  <c r="AW32" i="11"/>
  <c r="AV32" i="21"/>
  <c r="E31" i="2" l="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AN32" i="21"/>
  <c r="Q32" i="21"/>
  <c r="AK32" i="17"/>
  <c r="AT32" i="20"/>
  <c r="AE32" i="11"/>
  <c r="AP32" i="21"/>
  <c r="AP32" i="16"/>
  <c r="Y32" i="17"/>
  <c r="O32" i="21"/>
  <c r="AO32" i="11"/>
  <c r="AW32" i="21"/>
  <c r="AZ32" i="16"/>
  <c r="Q32" i="16"/>
  <c r="Z32" i="16"/>
  <c r="V32" i="17"/>
  <c r="BS32" i="16"/>
  <c r="BC32" i="21"/>
  <c r="L32" i="11"/>
  <c r="H32" i="12"/>
  <c r="V32" i="11"/>
  <c r="P32" i="11"/>
  <c r="S32" i="16"/>
  <c r="AR32" i="17"/>
  <c r="X32" i="21"/>
  <c r="Y32" i="11"/>
  <c r="AB32" i="16"/>
  <c r="AG32" i="11"/>
  <c r="AE32" i="21"/>
  <c r="AD32" i="21"/>
  <c r="K32" i="21"/>
  <c r="AF32" i="17"/>
  <c r="AY32" i="16"/>
  <c r="BF32" i="16"/>
  <c r="AS32" i="17"/>
  <c r="X32" i="16"/>
  <c r="AY32" i="21"/>
  <c r="AL32" i="11"/>
  <c r="H32" i="11"/>
  <c r="AH32" i="11"/>
  <c r="J32" i="17"/>
  <c r="AO32" i="17"/>
  <c r="E32" i="11"/>
  <c r="V32" i="20"/>
  <c r="AH32" i="21"/>
  <c r="T32" i="16"/>
  <c r="AT32" i="16"/>
  <c r="AV32" i="17"/>
  <c r="X32" i="11"/>
  <c r="U32" i="17"/>
  <c r="AS32" i="16"/>
  <c r="M32" i="17"/>
  <c r="L32" i="16"/>
  <c r="AN32" i="17"/>
  <c r="AU32" i="16"/>
  <c r="AA32" i="17"/>
  <c r="O32" i="17"/>
  <c r="AB32" i="21"/>
  <c r="X32" i="17"/>
  <c r="BD32" i="21"/>
  <c r="AS32" i="21"/>
  <c r="H32" i="16"/>
  <c r="AA32" i="11"/>
  <c r="AC32" i="11"/>
  <c r="AO32" i="21"/>
  <c r="AM32" i="17"/>
  <c r="N32" i="21"/>
  <c r="S32" i="21"/>
  <c r="AW32" i="17"/>
  <c r="L32" i="21"/>
  <c r="AF32" i="11"/>
  <c r="AK32" i="16"/>
  <c r="AL32" i="17"/>
  <c r="I32" i="21"/>
  <c r="U32" i="11"/>
  <c r="AF32" i="21"/>
  <c r="K31" i="12" l="1"/>
  <c r="AQ32" i="11"/>
  <c r="BL32" i="16"/>
  <c r="AQ32" i="17"/>
  <c r="AT32" i="21"/>
  <c r="AP32" i="1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<sst xmlns="http://schemas.openxmlformats.org/spreadsheetml/2006/main" count="2668" uniqueCount="1192">
  <si>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</si>
  <si>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</si>
  <si>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</si>
  <si>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</si>
  <si>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</si>
  <si>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</si>
  <si>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</si>
  <si>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</si>
  <si>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</si>
  <si>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</si>
  <si>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</si>
  <si>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</si>
  <si>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</si>
  <si>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</si>
  <si>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</si>
  <si>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</si>
  <si>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</si>
  <si>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</si>
  <si>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</si>
  <si>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</si>
  <si>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</si>
  <si>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</si>
  <si>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</si>
  <si>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</si>
  <si>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</si>
  <si>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</si>
  <si>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</si>
  <si>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</si>
  <si>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</si>
  <si>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</si>
  <si>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</si>
  <si>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</si>
  <si>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</si>
  <si>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</si>
  <si>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</si>
  <si>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</si>
  <si>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</si>
  <si>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</si>
  <si>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</si>
  <si>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</si>
  <si>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</si>
  <si>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</si>
  <si>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</si>
  <si>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</si>
  <si>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</si>
  <si>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</si>
  <si>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</si>
  <si>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</si>
  <si>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</si>
  <si>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</si>
  <si>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</si>
  <si>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</si>
  <si>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</si>
  <si>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</si>
  <si>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</si>
  <si>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</si>
  <si>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</si>
  <si>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</si>
  <si>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</si>
  <si>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</si>
  <si>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</si>
  <si>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</si>
  <si>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</si>
  <si>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</si>
  <si>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</si>
  <si>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</si>
  <si>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</si>
  <si>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</si>
  <si>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</si>
  <si>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</si>
  <si>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</si>
  <si>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</si>
  <si>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</si>
  <si>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</si>
  <si>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</si>
  <si>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</si>
  <si>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</si>
  <si>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</si>
  <si>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</si>
  <si>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</si>
  <si>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</si>
  <si>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</si>
  <si>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</si>
  <si>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</si>
  <si>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</si>
  <si>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</si>
  <si>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</si>
  <si>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</si>
  <si>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</si>
  <si>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</si>
  <si>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</si>
  <si>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</si>
  <si>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</si>
  <si>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</si>
  <si>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</si>
  <si>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</si>
  <si>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</si>
  <si>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</si>
  <si>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</si>
  <si>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</si>
  <si>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</si>
  <si>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</si>
  <si>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</si>
  <si>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</si>
  <si>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</si>
  <si>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</si>
  <si>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</si>
  <si>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</si>
  <si>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</si>
  <si>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</si>
  <si>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</si>
  <si>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</si>
  <si>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</si>
  <si>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</si>
  <si>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</si>
  <si>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</si>
  <si>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</si>
  <si>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</si>
  <si>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</si>
  <si>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</si>
  <si>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</si>
  <si>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</si>
  <si>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</si>
  <si>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</si>
  <si>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</si>
  <si>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</si>
  <si>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</si>
  <si>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</si>
  <si>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</si>
  <si>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</si>
  <si>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</si>
  <si>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</si>
  <si>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</si>
  <si>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</si>
  <si>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</si>
  <si>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</si>
  <si>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</si>
  <si>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</si>
  <si>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</si>
  <si>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</si>
  <si>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</si>
  <si>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</si>
  <si>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</si>
  <si>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</si>
  <si>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</si>
  <si>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</si>
  <si>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</si>
  <si>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</si>
  <si>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</si>
  <si>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</si>
  <si>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</si>
  <si>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</si>
  <si>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</si>
  <si>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</si>
  <si>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</si>
  <si>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</si>
  <si>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</si>
  <si>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</si>
  <si>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</si>
  <si>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</si>
  <si>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</si>
  <si>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</si>
  <si>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</si>
  <si>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</si>
  <si>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</si>
  <si>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</si>
  <si>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</si>
  <si>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</si>
  <si>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</si>
  <si>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</si>
  <si>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</si>
  <si>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</si>
  <si>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</si>
  <si>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</si>
  <si>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</si>
  <si>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</si>
  <si>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</si>
  <si>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</si>
  <si>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</si>
  <si>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</si>
  <si>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</si>
  <si>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</si>
  <si>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</si>
  <si>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</si>
  <si>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</si>
  <si>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</si>
  <si>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</si>
  <si>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</si>
  <si>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</si>
  <si>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</si>
  <si>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</si>
  <si>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</si>
  <si>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</si>
  <si>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</si>
  <si>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</si>
  <si>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</si>
  <si>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</si>
  <si>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</si>
  <si>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</si>
  <si>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</si>
  <si>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</si>
  <si>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</si>
  <si>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</si>
  <si>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</si>
  <si>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</si>
  <si>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</si>
  <si>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</si>
  <si>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</si>
  <si>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</si>
  <si>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</si>
  <si>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</si>
  <si>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</si>
  <si>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</si>
  <si>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</si>
  <si>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</si>
  <si>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</si>
  <si>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</si>
  <si>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</si>
  <si>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</si>
  <si>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</si>
  <si>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</si>
  <si>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</si>
  <si>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</si>
  <si>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</si>
  <si>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</si>
  <si>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</si>
  <si>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</si>
  <si>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</si>
  <si>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</si>
  <si>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</si>
  <si>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</si>
  <si>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</si>
  <si>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</si>
  <si>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</si>
  <si>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</si>
  <si>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</si>
  <si>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</si>
  <si>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</si>
  <si>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</si>
  <si>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</si>
  <si>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</si>
  <si>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</si>
  <si>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</si>
  <si>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</si>
  <si>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</si>
  <si>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</si>
  <si>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</si>
  <si>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</si>
  <si>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</si>
  <si>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</si>
  <si>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</si>
  <si>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</si>
  <si>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</si>
  <si>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</si>
  <si>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</si>
  <si>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</si>
  <si>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</si>
  <si>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</si>
  <si>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</si>
  <si>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</si>
  <si>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</si>
  <si>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</si>
  <si>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</si>
  <si>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</si>
  <si>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</si>
  <si>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</si>
  <si>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</si>
  <si>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</si>
  <si>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</si>
  <si>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</si>
  <si>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</si>
  <si>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</si>
  <si>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</si>
  <si>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</si>
  <si>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</si>
  <si>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</si>
  <si>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</si>
  <si>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</si>
  <si>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</si>
  <si>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</si>
  <si>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</si>
  <si>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</si>
  <si>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</si>
  <si>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</si>
  <si>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</si>
  <si>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</si>
  <si>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</si>
  <si>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</si>
  <si>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</si>
  <si>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</si>
  <si>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</si>
  <si>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</si>
  <si>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</si>
  <si>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</si>
  <si>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</si>
  <si>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</si>
  <si>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</si>
  <si>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</si>
  <si>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</si>
  <si>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</si>
  <si>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</si>
  <si>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</si>
  <si>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</si>
  <si>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</si>
  <si>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</si>
  <si>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</si>
  <si>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</si>
  <si>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</si>
  <si>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</si>
  <si>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</si>
  <si>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</si>
  <si>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</si>
  <si>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</si>
  <si>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</si>
  <si>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</si>
  <si>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</si>
  <si>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</si>
  <si>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</si>
  <si>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</si>
  <si>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</si>
  <si>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</si>
  <si>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</si>
  <si>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</si>
  <si>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</si>
  <si>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</si>
  <si>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</si>
  <si>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</si>
  <si>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</si>
  <si>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</si>
  <si>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</si>
  <si>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</si>
  <si>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</si>
  <si>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</si>
  <si>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</si>
  <si>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</si>
  <si>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</si>
  <si>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</si>
  <si>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</si>
  <si>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</si>
  <si>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</si>
  <si>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</si>
  <si>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</si>
  <si>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</si>
  <si>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</si>
  <si>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</si>
  <si>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</si>
  <si>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</si>
  <si>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</si>
  <si>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</si>
  <si>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</si>
  <si>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</si>
  <si>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</si>
  <si>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</si>
  <si>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</si>
  <si>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</si>
  <si>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</si>
  <si>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</si>
  <si>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</si>
  <si>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</si>
  <si>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</si>
  <si>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</si>
  <si>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</si>
  <si>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</si>
  <si>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</si>
  <si>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</si>
  <si>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</si>
  <si>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</si>
  <si>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</si>
  <si>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</si>
  <si>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</si>
  <si>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</si>
  <si>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</si>
  <si>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</si>
  <si>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</si>
  <si>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</si>
  <si>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</si>
  <si>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</si>
  <si>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</si>
  <si>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</si>
  <si>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</si>
  <si>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</si>
  <si>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</si>
  <si>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</si>
  <si>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</si>
  <si>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</si>
  <si>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</si>
  <si>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</si>
  <si>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</si>
  <si>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</si>
  <si>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</si>
  <si>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</si>
  <si>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</si>
  <si>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</si>
  <si>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</si>
  <si>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</si>
  <si>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</si>
  <si>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</si>
  <si>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</si>
  <si>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</si>
  <si>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</si>
  <si>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</si>
  <si>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</si>
  <si>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</si>
  <si>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</si>
  <si>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</si>
  <si>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</si>
  <si>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</si>
  <si>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</si>
  <si>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</si>
  <si>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</si>
  <si>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</si>
  <si>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</si>
  <si>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</si>
  <si>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</si>
  <si>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</si>
  <si>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</si>
  <si>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</si>
  <si>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</si>
  <si>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</si>
  <si>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</si>
  <si>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</si>
  <si>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</si>
  <si>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</si>
  <si>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</si>
  <si>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</si>
  <si>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</si>
  <si>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</si>
  <si>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</si>
  <si>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</si>
  <si>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</si>
  <si>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</si>
  <si>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</si>
  <si>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</si>
  <si>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</si>
  <si>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</si>
  <si>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</si>
  <si>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</si>
  <si>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</si>
  <si>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</si>
  <si>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</si>
  <si>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</si>
  <si>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</si>
  <si>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</si>
  <si>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</si>
  <si>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</si>
  <si>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</si>
  <si>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</si>
  <si>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</si>
  <si>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</si>
  <si>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</si>
  <si>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</si>
  <si>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</si>
  <si>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</si>
  <si>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</si>
  <si>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</si>
  <si>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</si>
  <si>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</si>
  <si>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</si>
  <si>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</si>
  <si>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</si>
  <si>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</si>
  <si>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</si>
  <si>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</si>
  <si>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</si>
  <si>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</si>
  <si>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</si>
  <si>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</si>
  <si>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</si>
  <si>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</si>
  <si>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</si>
  <si>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</si>
  <si>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</si>
  <si>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</si>
  <si>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</si>
  <si>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</si>
  <si>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</si>
  <si>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</si>
  <si>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</si>
  <si>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</si>
  <si>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</si>
  <si>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</si>
  <si>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</si>
  <si>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</si>
  <si>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</si>
  <si>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</si>
  <si>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</si>
  <si>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</si>
  <si>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</si>
  <si>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</si>
  <si>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</si>
  <si>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</si>
  <si>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</si>
  <si>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</si>
  <si>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</si>
  <si>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</si>
  <si>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</si>
  <si>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</si>
  <si>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</si>
  <si>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</si>
  <si>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</si>
  <si>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</si>
  <si>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</si>
  <si>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</si>
  <si>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</si>
  <si>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</si>
  <si>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</si>
  <si>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</si>
  <si>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</si>
  <si>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</si>
  <si>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</si>
  <si>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</si>
  <si>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</si>
  <si>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</si>
  <si>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</si>
  <si>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</si>
  <si>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</si>
  <si>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</si>
  <si>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</si>
  <si>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</si>
  <si>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</si>
  <si>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</si>
  <si>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</si>
  <si>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</si>
  <si>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</si>
  <si>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</si>
  <si>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</si>
  <si>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</si>
  <si>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</si>
  <si>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</si>
  <si>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</si>
  <si>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</si>
  <si>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</si>
  <si>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</si>
  <si>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</si>
  <si>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</si>
  <si>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</si>
  <si>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</si>
  <si>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</si>
  <si>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</si>
  <si>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</si>
  <si>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</si>
  <si>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</si>
  <si>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</si>
  <si>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</si>
  <si>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</si>
  <si>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</si>
  <si>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</si>
  <si>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</si>
  <si>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</si>
  <si>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</si>
  <si>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</si>
  <si>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</si>
  <si>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</si>
  <si>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</si>
  <si>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</si>
  <si>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</si>
  <si>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</si>
  <si>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</si>
  <si>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</si>
  <si>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</si>
  <si>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</si>
  <si>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</si>
  <si>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</si>
  <si>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</si>
  <si>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</si>
  <si>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</si>
  <si>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</si>
  <si>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</si>
  <si>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</si>
  <si>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</si>
  <si>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</si>
  <si>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</si>
  <si>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</si>
  <si>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</si>
  <si>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</si>
  <si>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</si>
  <si>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</si>
  <si>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</si>
  <si>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</si>
  <si>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</si>
  <si>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</si>
  <si>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</si>
  <si>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</si>
  <si>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</si>
  <si>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</si>
  <si>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</si>
  <si>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</si>
  <si>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</si>
  <si>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</si>
  <si>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</si>
  <si>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</si>
  <si>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</si>
  <si>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</si>
  <si>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</si>
  <si>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</si>
  <si>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</si>
  <si>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</si>
  <si>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</si>
  <si>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</si>
  <si>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</si>
  <si>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</si>
  <si>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</si>
  <si>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</si>
  <si>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</si>
  <si>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</si>
  <si>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</si>
  <si>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</si>
  <si>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</si>
  <si>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</si>
  <si>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</si>
  <si>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</si>
  <si>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</si>
  <si>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</si>
  <si>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</si>
  <si>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</si>
  <si>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</si>
  <si>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</si>
  <si>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</si>
  <si>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</si>
  <si>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</si>
  <si>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</si>
  <si>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</si>
  <si>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</si>
  <si>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</si>
  <si>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</si>
  <si>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</si>
  <si>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</si>
  <si>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</si>
  <si>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</si>
  <si>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</si>
  <si>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</si>
  <si>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</si>
  <si>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</si>
  <si>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</si>
  <si>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</si>
  <si>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</si>
  <si>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</si>
  <si>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</si>
  <si>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</si>
  <si>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</si>
  <si>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</si>
  <si>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</si>
  <si>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</si>
  <si>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</si>
  <si>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</si>
  <si>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</si>
  <si>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</si>
  <si>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</si>
  <si>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</si>
  <si>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</si>
  <si>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</si>
  <si>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</si>
  <si>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</si>
  <si>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</si>
  <si>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</si>
  <si>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</si>
  <si>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</si>
  <si>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</si>
  <si>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</si>
  <si>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</si>
  <si>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</si>
  <si>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</si>
  <si>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</si>
  <si>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</si>
  <si>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</si>
  <si>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</si>
  <si>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</si>
  <si>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</si>
  <si>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</si>
  <si>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</si>
  <si>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</si>
  <si>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</si>
  <si>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</si>
  <si>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</si>
  <si>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</si>
  <si>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</si>
  <si>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</si>
  <si>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</si>
  <si>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</si>
  <si>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</si>
  <si>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</si>
  <si>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</si>
  <si>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</si>
  <si>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</si>
  <si>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</si>
  <si>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</si>
  <si>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</si>
  <si>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</si>
  <si>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</si>
  <si>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</si>
  <si>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</si>
  <si>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</si>
  <si>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</si>
  <si>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</si>
  <si>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</si>
  <si>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</si>
  <si>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</si>
  <si>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</si>
  <si>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</si>
  <si>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</si>
  <si>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</si>
  <si>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</si>
  <si>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</si>
  <si>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</si>
  <si>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</si>
  <si>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</si>
  <si>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</si>
  <si>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</si>
  <si>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</si>
  <si>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</si>
  <si>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</si>
  <si>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</si>
  <si>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</si>
  <si>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</si>
  <si>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</si>
  <si>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</si>
  <si>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</si>
  <si>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</si>
  <si>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</si>
  <si>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</si>
  <si>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</si>
  <si>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</si>
  <si>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</si>
  <si>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</si>
  <si>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</si>
  <si>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</si>
  <si>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</si>
  <si>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</si>
  <si>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</si>
  <si>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</si>
  <si>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</si>
  <si>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</si>
  <si>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</si>
  <si>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</si>
  <si>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</si>
  <si>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</si>
  <si>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</si>
  <si>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</si>
  <si>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</si>
  <si>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</si>
  <si>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</si>
  <si>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</si>
  <si>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</si>
  <si>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</si>
  <si>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</si>
  <si>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</si>
  <si>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</si>
  <si>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</si>
  <si>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</si>
  <si>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</si>
  <si>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</si>
  <si>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</si>
  <si>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</si>
  <si>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</si>
  <si>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</si>
  <si>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</si>
  <si>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</si>
  <si>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</si>
  <si>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</si>
  <si>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</si>
  <si>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</si>
  <si>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</si>
  <si>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</si>
  <si>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</si>
  <si>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</si>
  <si>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</si>
  <si>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</si>
  <si>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</si>
  <si>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</si>
  <si>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</si>
  <si>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</si>
  <si>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</si>
  <si>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</si>
  <si>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</si>
  <si>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</si>
  <si>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</si>
  <si>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</si>
  <si>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</si>
  <si>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</si>
  <si>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</si>
  <si>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</si>
  <si>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</si>
  <si>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</si>
  <si>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</si>
  <si>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</si>
  <si>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</si>
  <si>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</si>
  <si>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</si>
  <si>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</si>
  <si>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</si>
  <si>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</si>
  <si>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</si>
  <si>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</si>
  <si>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</si>
  <si>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</si>
  <si>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</si>
  <si>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</si>
  <si>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</si>
  <si>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</si>
  <si>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</si>
  <si>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</si>
  <si>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</si>
  <si>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</si>
  <si>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</si>
  <si>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</si>
  <si>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</si>
  <si>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</si>
  <si>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</si>
  <si>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</si>
  <si>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</si>
  <si>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</si>
  <si>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</si>
  <si>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</si>
  <si>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</si>
  <si>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</si>
  <si>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</si>
  <si>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</si>
  <si>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</si>
  <si>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</si>
  <si>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</si>
  <si>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</si>
  <si>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</si>
  <si>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</si>
  <si>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</si>
  <si>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</si>
  <si>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</si>
  <si>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</si>
  <si>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</si>
  <si>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</si>
  <si>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</si>
  <si>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</si>
  <si>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</si>
  <si>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</si>
  <si>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</si>
  <si>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</si>
  <si>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</si>
  <si>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</si>
  <si>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</si>
  <si>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</si>
  <si>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</si>
  <si>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</si>
  <si>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</si>
  <si>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</si>
  <si>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</si>
  <si>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</si>
  <si>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</si>
  <si>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</si>
  <si>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</si>
  <si>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</si>
  <si>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</si>
  <si>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</si>
  <si>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</si>
  <si>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</si>
  <si>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</si>
  <si>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</si>
  <si>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</si>
  <si>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</si>
  <si>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</si>
  <si>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</si>
  <si>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</si>
  <si>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</si>
  <si>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</si>
  <si>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</si>
  <si>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</si>
  <si>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</si>
  <si>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</si>
  <si>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</si>
  <si>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</si>
  <si>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</si>
  <si>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</si>
  <si>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</si>
  <si>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</si>
  <si>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</si>
  <si>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</si>
  <si>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</si>
  <si>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</si>
  <si>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</si>
  <si>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</si>
  <si>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</si>
  <si>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</si>
  <si>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</si>
  <si>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</si>
  <si>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</si>
  <si>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</si>
  <si>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</si>
  <si>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</si>
  <si>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</si>
  <si>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</si>
  <si>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</si>
  <si>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</si>
  <si>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</si>
  <si>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</si>
  <si>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</si>
  <si>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</si>
  <si>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</si>
  <si>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</si>
  <si>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</si>
  <si>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</si>
  <si>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</si>
  <si>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</si>
  <si>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</si>
  <si>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</si>
  <si>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</si>
  <si>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</si>
  <si>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</si>
  <si>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</si>
  <si>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</si>
  <si>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</si>
  <si>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</si>
  <si>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</si>
  <si>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</si>
  <si>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</si>
  <si>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</si>
  <si>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</si>
  <si>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</si>
  <si>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</si>
  <si>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</si>
  <si>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</si>
  <si>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</si>
  <si>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</si>
  <si>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</si>
  <si>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</si>
  <si>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</si>
  <si>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</si>
  <si>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</si>
  <si>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</si>
  <si>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</si>
  <si>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</si>
  <si>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</si>
  <si>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</si>
  <si>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</si>
  <si>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</si>
  <si>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</si>
  <si>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</si>
  <si>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</si>
  <si>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</si>
  <si>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</si>
  <si>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</si>
  <si>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</si>
  <si>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</si>
  <si>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</si>
  <si>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</si>
  <si>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</si>
  <si>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</si>
  <si>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</si>
  <si>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</si>
  <si>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</si>
  <si>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</si>
  <si>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</si>
  <si>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</si>
  <si>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</si>
  <si>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</si>
  <si>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</si>
  <si>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</si>
  <si>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</si>
  <si>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</si>
  <si>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</si>
  <si>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</si>
  <si>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</si>
  <si>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</si>
  <si>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</si>
  <si>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</si>
  <si>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</si>
  <si>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</si>
  <si>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</si>
  <si>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</si>
  <si>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</si>
  <si>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</si>
  <si>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</si>
  <si>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</si>
  <si>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</si>
  <si>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</si>
  <si>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</si>
  <si>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</si>
  <si>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</si>
  <si>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</si>
  <si>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</si>
  <si>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</si>
  <si>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</si>
  <si>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</si>
  <si>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</si>
  <si>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</si>
  <si>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</si>
  <si>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</si>
  <si>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</si>
  <si>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</si>
  <si>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</si>
  <si>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</si>
  <si>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</si>
  <si>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</si>
  <si>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</si>
  <si>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</si>
  <si>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</si>
  <si>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</si>
  <si>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</si>
  <si>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</si>
  <si>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</si>
  <si>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</si>
  <si>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</si>
  <si>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</si>
  <si>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</si>
  <si>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</si>
  <si>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</si>
  <si>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</si>
  <si>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</si>
  <si>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</si>
  <si>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</si>
  <si>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</si>
  <si>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</si>
  <si>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</si>
  <si>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</si>
  <si>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</si>
  <si>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</si>
  <si>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</si>
  <si>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</si>
  <si>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</si>
  <si>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</si>
  <si>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</si>
  <si>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</si>
  <si>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</si>
  <si>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</si>
  <si>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</si>
  <si>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</si>
  <si>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</si>
  <si>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</si>
  <si>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</si>
  <si>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</si>
  <si>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</si>
  <si>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</si>
  <si>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</si>
  <si>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</si>
  <si>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</si>
  <si>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</si>
  <si>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</si>
  <si>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</si>
  <si>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</si>
  <si>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</si>
  <si>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</si>
  <si>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</si>
  <si>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</si>
  <si>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</si>
  <si>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</si>
  <si>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</si>
  <si>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</si>
  <si>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</si>
  <si>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</si>
  <si>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</si>
  <si>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</si>
  <si>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</si>
  <si>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</si>
  <si>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</si>
  <si>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</si>
  <si>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</si>
  <si>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</si>
  <si>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</si>
  <si>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</si>
  <si>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</si>
  <si>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</si>
  <si>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</si>
  <si>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</si>
  <si>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</si>
  <si>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</si>
  <si>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</si>
  <si>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</si>
  <si>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</si>
  <si>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</si>
  <si>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</si>
  <si>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</si>
  <si>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</si>
  <si>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</si>
  <si>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</si>
  <si>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</si>
  <si>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</si>
  <si>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</si>
  <si>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</si>
  <si>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</si>
  <si>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</si>
  <si>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</si>
  <si>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</si>
  <si>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</si>
  <si>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</si>
  <si>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</si>
  <si>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</si>
  <si>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</si>
  <si>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</si>
  <si>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</si>
  <si>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</si>
  <si>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</si>
  <si>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</si>
  <si>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</si>
  <si>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</si>
  <si>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</si>
  <si>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</si>
  <si>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</si>
  <si>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</si>
  <si>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</si>
  <si>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</si>
  <si>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</si>
  <si>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</si>
  <si>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</si>
  <si>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</si>
  <si>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</si>
  <si>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</si>
  <si>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</si>
  <si>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</si>
  <si>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</si>
  <si>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</si>
  <si>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</si>
  <si>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</si>
  <si>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</si>
  <si>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</si>
  <si>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</si>
  <si>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</si>
  <si>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</si>
  <si>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</si>
  <si>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</si>
  <si>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</si>
  <si>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</si>
  <si>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</si>
  <si>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</si>
  <si>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</si>
  <si>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</si>
  <si>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</si>
  <si>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</si>
  <si>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</si>
  <si>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</si>
  <si>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</si>
  <si>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</si>
  <si>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</si>
  <si>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</si>
  <si>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</si>
  <si>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</si>
  <si>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</si>
  <si>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</si>
  <si>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</si>
  <si>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</si>
  <si>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</si>
  <si>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</si>
  <si>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</si>
  <si>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</si>
  <si>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</si>
  <si>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</si>
  <si>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</si>
  <si>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</si>
  <si>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</si>
  <si>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</si>
  <si>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</si>
  <si>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</si>
  <si>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</si>
  <si>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</si>
  <si>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</si>
  <si>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</si>
  <si>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</si>
  <si>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</si>
  <si>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</si>
  <si>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</si>
  <si>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</si>
  <si>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</si>
  <si>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</si>
  <si>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</si>
  <si>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</si>
  <si>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</si>
  <si>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</si>
  <si>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</si>
  <si>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</si>
  <si>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</si>
  <si>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</si>
  <si>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</si>
  <si>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</si>
  <si>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</si>
  <si>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</si>
  <si>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</si>
  <si>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</si>
  <si>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</si>
  <si>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</si>
  <si>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</si>
  <si>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</si>
  <si>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</si>
  <si>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</si>
  <si>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</si>
  <si>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</si>
  <si>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</si>
  <si>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</si>
  <si>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</si>
  <si>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</si>
  <si>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</si>
  <si>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</si>
  <si>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</si>
  <si>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</si>
  <si>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</si>
  <si>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GRANADA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</si>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</sst>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1</v>
      </c>
      <c r="E5" s="418"/>
      <c r="F5" s="3"/>
      <c r="H5" t="s">
        <v>546</v>
      </c>
      <c r="Q5" s="391">
        <v>3</v>
      </c>
      <c r="R5" s="391">
        <v>2</v>
      </c>
      <c r="S5" t="b">
        <f>AND(Q5&gt;=TrimIni,Q5&lt;=TrimFin)</f>
        <v>1</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1190</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AEI8cPWn2EbVq/FezPbkbL1mEF5RHZb+5mV/OSc0NvxbnUL33nfBuDWYEd06CwKDb094X5fxELIjhh80D1QE9g==" saltValue="M7CNLzVBPWxhx9VpreuuQ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16</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4.7994785065005612</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2</v>
      </c>
      <c r="B10" s="1461" t="str">
        <f>Datos!A10</f>
        <v>Jdos. Violencia contra la mujer</v>
      </c>
      <c r="C10" s="239">
        <f t="shared" si="0"/>
        <v>209</v>
      </c>
      <c r="D10" s="239">
        <f>IF(ISNUMBER(Datos!I10),Datos!I10," - ")</f>
        <v>209</v>
      </c>
      <c r="E10" s="240">
        <f>IF(ISNUMBER(Datos!J10),Datos!J10," - ")</f>
        <v>439</v>
      </c>
      <c r="F10" s="240">
        <f>IF(ISNUMBER(Datos!K10),Datos!K10," - ")</f>
        <v>380</v>
      </c>
      <c r="G10" s="1390" t="str">
        <f>IF(Datos!E10&lt;&gt;"",Datos!E10,Datos!D10)</f>
        <v>37</v>
      </c>
      <c r="H10" s="241">
        <f>IF(ISNUMBER(Datos!L10),Datos!L10," - ")</f>
        <v>268</v>
      </c>
      <c r="I10" s="1400" t="str">
        <f>IF(ISNUMBER(Datos!AS10/Datos!BM10),Datos!AS10/Datos!BM10," - ")</f>
        <v xml:space="preserve"> - </v>
      </c>
      <c r="J10" s="1401">
        <f>IF(ISNUMBER(Datos!BY10/Datos!CN10),Datos!BY10/Datos!CN10," - ")</f>
        <v>0</v>
      </c>
      <c r="K10" s="244">
        <f t="shared" ref="K10:K13" si="1">IF(ISNUMBER((E10-F10)/C10),(E10-F10)/C10," - ")</f>
        <v>0.28229665071770332</v>
      </c>
      <c r="L10" s="1402">
        <f>IF(ISNUMBER(NºAsuntos!I10/NºAsuntos!G10),(NºAsuntos!I10/NºAsuntos!G10)*11," - ")</f>
        <v>7.757894736842105</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3</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f>IF(ISNUMBER(NºAsuntos!I11/NºAsuntos!G11),(NºAsuntos!I11/NºAsuntos!G11)*11," - ")</f>
        <v>3.9503144654088049</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209</v>
      </c>
      <c r="D14" s="1407">
        <f>SUBTOTAL(9,D9:D13)</f>
        <v>209</v>
      </c>
      <c r="E14" s="1408">
        <f>SUBTOTAL(9,E9:E13)</f>
        <v>439</v>
      </c>
      <c r="F14" s="1409">
        <f>SUBTOTAL(9,F9:F13)</f>
        <v>380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9</v>
      </c>
      <c r="B16" s="1461" t="str">
        <f>Datos!A16</f>
        <v xml:space="preserve">Jdos. Instrucción                               </v>
      </c>
      <c r="C16" s="239">
        <f t="shared" ref="C16:C22" si="2">IF(ISNUMBER(H16-E16+F16),H16-E16+F16," - ")</f>
        <v>4165</v>
      </c>
      <c r="D16" s="239">
        <f>IF(ISNUMBER(IF(D_I="SI",Datos!I16,Datos!I16+Datos!AC16)),IF(D_I="SI",Datos!I16,Datos!I16+Datos!AC16)," - ")</f>
        <v>3824</v>
      </c>
      <c r="E16" s="240">
        <f>IF(ISNUMBER(IF(D_I="SI",Datos!J16,Datos!J16+Datos!AD16)),IF(D_I="SI",Datos!J16,Datos!J16+Datos!AD16)," - ")</f>
        <v>37466</v>
      </c>
      <c r="F16" s="240">
        <f>IF(ISNUMBER(IF(D_I="SI",Datos!K16,Datos!K16+Datos!AE16)),IF(D_I="SI",Datos!K16,Datos!K16+Datos!AE16)," - ")</f>
        <v>36875</v>
      </c>
      <c r="G16" s="1390" t="str">
        <f>IF(Datos!E16&lt;&gt;"",Datos!E16,Datos!D16)</f>
        <v>03</v>
      </c>
      <c r="H16" s="241">
        <f>IF(ISNUMBER(IF(D_I="SI",Datos!L16,Datos!L16+Datos!AF16)),IF(D_I="SI",Datos!L16,Datos!L16+Datos!AF16)," - ")</f>
        <v>4756</v>
      </c>
      <c r="I16" s="1400" t="str">
        <f>IF(ISNUMBER(Datos!AS16/Datos!BM16),Datos!AS16/Datos!BM16," - ")</f>
        <v xml:space="preserve"> - </v>
      </c>
      <c r="J16" s="1401">
        <f>IF(ISNUMBER(Datos!BY16/Datos!CN16),Datos!BY16/Datos!CN16," - ")</f>
        <v>0</v>
      </c>
      <c r="K16" s="244">
        <f t="shared" ref="K16:K22" si="3">IF(ISNUMBER((E16-F16)/C16),(E16-F16)/C16," - ")</f>
        <v>0.1418967587034814</v>
      </c>
      <c r="L16" s="1402">
        <f>IF(ISNUMBER(NºAsuntos!I16/NºAsuntos!G16),(NºAsuntos!I16/NºAsuntos!G16)*11," - ")</f>
        <v>1.4187389830508474</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2</v>
      </c>
      <c r="B18" s="1461" t="str">
        <f>Datos!A18</f>
        <v>Jdos. Violencia contra la mujer</v>
      </c>
      <c r="C18" s="239">
        <f t="shared" si="2"/>
        <v>347</v>
      </c>
      <c r="D18" s="239">
        <f>IF(ISNUMBER(IF(D_I="SI",Datos!I18,Datos!I18+Datos!AC18)),IF(D_I="SI",Datos!I18,Datos!I18+Datos!AC18)," - ")</f>
        <v>453</v>
      </c>
      <c r="E18" s="240">
        <f>IF(ISNUMBER(IF(D_I="SI",Datos!J18,Datos!J18+Datos!AD18)),IF(D_I="SI",Datos!J18,Datos!J18+Datos!AD18)," - ")</f>
        <v>3137</v>
      </c>
      <c r="F18" s="240">
        <f>IF(ISNUMBER(IF(D_I="SI",Datos!K18,Datos!K18+Datos!AE18)),IF(D_I="SI",Datos!K18,Datos!K18+Datos!AE18)," - ")</f>
        <v>3112</v>
      </c>
      <c r="G18" s="1390" t="str">
        <f>IF(Datos!E18&lt;&gt;"",Datos!E18,Datos!D18)</f>
        <v>37</v>
      </c>
      <c r="H18" s="241">
        <f>IF(ISNUMBER(IF(D_I="SI",Datos!L18,Datos!L18+Datos!AF18)),IF(D_I="SI",Datos!L18,Datos!L18+Datos!AF18)," - ")</f>
        <v>372</v>
      </c>
      <c r="I18" s="1400" t="str">
        <f>IF(ISNUMBER(Datos!AS18/Datos!BM18),Datos!AS18/Datos!BM18," - ")</f>
        <v xml:space="preserve"> - </v>
      </c>
      <c r="J18" s="1401" t="str">
        <f>IF(ISNUMBER((Datos!BY18+Datos!BZ18)/Datos!CN18),(Datos!BY18+Datos!BZ18)/Datos!CN18," - ")</f>
        <v xml:space="preserve"> - </v>
      </c>
      <c r="K18" s="244">
        <f t="shared" si="3"/>
        <v>7.2046109510086456E-2</v>
      </c>
      <c r="L18" s="1402">
        <f>IF(ISNUMBER(NºAsuntos!I18/NºAsuntos!G18),(NºAsuntos!I18/NºAsuntos!G18)*11," - ")</f>
        <v>1.3149100257069408</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4512</v>
      </c>
      <c r="D23" s="1407">
        <f>SUBTOTAL(9,D16:D22)</f>
        <v>4277</v>
      </c>
      <c r="E23" s="1408">
        <f>SUBTOTAL(9,E16:E22)</f>
        <v>40603</v>
      </c>
      <c r="F23" s="1408">
        <f>SUBTOTAL(9,F16:F22)</f>
        <v>39987</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4721</v>
      </c>
      <c r="D31" s="1435">
        <f>SUBTOTAL(9,D9:D30)</f>
        <v>4486</v>
      </c>
      <c r="E31" s="1436">
        <f>SUBTOTAL(9,E9:E30)</f>
        <v>41042</v>
      </c>
      <c r="F31" s="1436">
        <f>SUBTOTAL(9,F9:F30)</f>
        <v>40367</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luTDf4IqqzLFsHWa1V89R6qn9aLN6wHq1Zqgn2CoHk85ldD3QgFp7zn4Y3Q7T3ua/05HZ40UWHfPDr3GpsjX9g==" saltValue="EV5vRG5d2Cai8Z956KNic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B21xC1Clnmj7C1V6te+lWA7lQPZ2Dv8BMyujNcSoFUNIaoitMZ/RB8o022PQiV4wKjnIU8U98scmXuXlR4Hubg==" saltValue="Hx7HOARw3Kp1S+QWKtzoa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GRANADA</v>
      </c>
      <c r="CE4" s="1828" t="s">
        <v>350</v>
      </c>
      <c r="CF4" s="1829"/>
      <c r="CG4" s="1829"/>
      <c r="CH4" s="1830"/>
    </row>
    <row r="5" spans="1:155" ht="12.75" customHeight="1" thickBot="1">
      <c r="A5" s="1798" t="str">
        <f>"Año:  " &amp;Criterios!B5 &amp; "                  Trimestre   " &amp;Criterios!D5 &amp; " al " &amp;Criterios!D6</f>
        <v>Año:  2022                  Trimestre   1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v>12002</v>
      </c>
      <c r="J9" s="194">
        <v>23314</v>
      </c>
      <c r="K9" s="194">
        <v>24793</v>
      </c>
      <c r="L9" s="194">
        <v>11641</v>
      </c>
      <c r="M9" s="194">
        <v>6478</v>
      </c>
      <c r="N9" s="194">
        <v>11259</v>
      </c>
      <c r="O9" s="194">
        <v>13746</v>
      </c>
      <c r="P9" s="194">
        <v>6051</v>
      </c>
      <c r="Q9" s="194">
        <v>10212</v>
      </c>
      <c r="R9" s="194">
        <v>21109</v>
      </c>
      <c r="S9" s="194">
        <v>14576</v>
      </c>
      <c r="T9" s="194">
        <v>22067</v>
      </c>
      <c r="U9" s="194">
        <v>24911</v>
      </c>
      <c r="V9" s="194">
        <v>12002</v>
      </c>
      <c r="W9" s="194">
        <v>6649</v>
      </c>
      <c r="X9" s="201">
        <v>10844</v>
      </c>
      <c r="Y9" s="204">
        <v>477</v>
      </c>
      <c r="Z9" s="194">
        <v>2760</v>
      </c>
      <c r="AA9" s="194">
        <v>2820</v>
      </c>
      <c r="AB9" s="194">
        <v>407</v>
      </c>
      <c r="AC9" s="194">
        <v>0</v>
      </c>
      <c r="AD9" s="194">
        <v>0</v>
      </c>
      <c r="AE9" s="194">
        <v>0</v>
      </c>
      <c r="AF9" s="201">
        <v>0</v>
      </c>
      <c r="AG9" s="204">
        <v>372</v>
      </c>
      <c r="AH9" s="194">
        <v>3148</v>
      </c>
      <c r="AI9" s="194">
        <v>3053</v>
      </c>
      <c r="AJ9" s="205">
        <v>477</v>
      </c>
      <c r="AK9" s="193">
        <v>0</v>
      </c>
      <c r="AL9" s="194">
        <v>0</v>
      </c>
      <c r="AM9" s="194">
        <v>0</v>
      </c>
      <c r="AN9" s="201">
        <v>0</v>
      </c>
      <c r="AO9" s="282">
        <v>16</v>
      </c>
      <c r="AP9" s="167">
        <v>16</v>
      </c>
      <c r="AQ9" s="167">
        <v>16</v>
      </c>
      <c r="AR9" s="206">
        <v>16</v>
      </c>
      <c r="AS9" s="379" t="s">
        <v>1072</v>
      </c>
      <c r="AT9" s="208"/>
      <c r="AU9" s="207"/>
      <c r="AV9" s="208"/>
      <c r="AW9" s="207"/>
      <c r="AX9" s="208"/>
      <c r="AY9" s="133">
        <f>IF(ISNUMBER(IF(J_V="SI",S9,S9+AG9)),IF(J_V="SI",S9,S9+AG9)," - ")</f>
        <v>14948</v>
      </c>
      <c r="AZ9" s="133">
        <f>IF(ISNUMBER(IF(J_V="SI",T9,T9+AH9)),IF(J_V="SI",T9,T9+AH9)," - ")</f>
        <v>25215</v>
      </c>
      <c r="BA9" s="134">
        <f>IF(ISNUMBER(IF(J_V="SI",U9,U9+AI9)),IF(J_V="SI",U9,U9+AI9)," - ")</f>
        <v>27964</v>
      </c>
      <c r="BB9" s="134">
        <f>IF(ISNUMBER(IF(J_V="SI",V9,V9+AJ9)),IF(J_V="SI",V9,V9+AJ9)," - ")</f>
        <v>12479</v>
      </c>
      <c r="BC9" s="135">
        <f>IF(ISNUMBER(X9),X9," - ")</f>
        <v>10844</v>
      </c>
      <c r="BD9" s="136">
        <f>IF(ISNUMBER(BA9/AZ9),BA9/AZ9," - ")</f>
        <v>1.1090224072972437</v>
      </c>
      <c r="BE9" s="137">
        <f>IF(ISNUMBER(BB9/BA9),BB9/BA9, " - ")</f>
        <v>0.44625232441710772</v>
      </c>
      <c r="BF9" s="137">
        <f>IF(ISNUMBER(BC9/BA9),BC9/BA9, " - ")</f>
        <v>0.3877842940924045</v>
      </c>
      <c r="BG9" s="209">
        <f>IF(ISNUMBER((AY9+AZ9)/BA9),(AY9+AZ9)/BA9," - ")</f>
        <v>1.4362394507223573</v>
      </c>
      <c r="BH9" s="167">
        <v>16</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209</v>
      </c>
      <c r="J10" s="194">
        <v>439</v>
      </c>
      <c r="K10" s="194">
        <v>380</v>
      </c>
      <c r="L10" s="194">
        <v>268</v>
      </c>
      <c r="M10" s="194">
        <v>157</v>
      </c>
      <c r="N10" s="194">
        <v>168</v>
      </c>
      <c r="O10" s="194">
        <v>111</v>
      </c>
      <c r="P10" s="194">
        <v>120</v>
      </c>
      <c r="Q10" s="194">
        <v>103</v>
      </c>
      <c r="R10" s="194">
        <v>229</v>
      </c>
      <c r="S10" s="194">
        <v>220</v>
      </c>
      <c r="T10" s="194">
        <v>431</v>
      </c>
      <c r="U10" s="194">
        <v>442</v>
      </c>
      <c r="V10" s="194">
        <v>209</v>
      </c>
      <c r="W10" s="194">
        <v>167</v>
      </c>
      <c r="X10" s="201">
        <v>178</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2</v>
      </c>
      <c r="AP10" s="168">
        <v>2</v>
      </c>
      <c r="AQ10" s="167">
        <v>2</v>
      </c>
      <c r="AR10" s="168">
        <v>2</v>
      </c>
      <c r="AS10" s="380" t="s">
        <v>1066</v>
      </c>
      <c r="AT10" s="205"/>
      <c r="AU10" s="213"/>
      <c r="AV10" s="205"/>
      <c r="AW10" s="213"/>
      <c r="AX10" s="205"/>
      <c r="AY10" s="138">
        <f t="shared" ref="AY10:BC10" si="0">IF(ISNUMBER(S10),S10," - ")</f>
        <v>220</v>
      </c>
      <c r="AZ10" s="139">
        <f t="shared" si="0"/>
        <v>431</v>
      </c>
      <c r="BA10" s="139">
        <f t="shared" si="0"/>
        <v>442</v>
      </c>
      <c r="BB10" s="139">
        <f t="shared" si="0"/>
        <v>209</v>
      </c>
      <c r="BC10" s="135">
        <f t="shared" si="0"/>
        <v>167</v>
      </c>
      <c r="BD10" s="136">
        <f>IF(ISNUMBER(BA10/AZ10),BA10/AZ10," - ")</f>
        <v>1.0255220417633411</v>
      </c>
      <c r="BE10" s="137">
        <f>IF(ISNUMBER(BB10/BA10),BB10/BA10, " - ")</f>
        <v>0.47285067873303166</v>
      </c>
      <c r="BF10" s="137">
        <f>IF(ISNUMBER(BC10/BA10),BC10/BA10, " - ")</f>
        <v>0.37782805429864252</v>
      </c>
      <c r="BG10" s="209">
        <f>IF(ISNUMBER((AY10+AZ10)/BA10),(AY10+AZ10)/BA10," - ")</f>
        <v>1.4728506787330318</v>
      </c>
      <c r="BH10" s="168">
        <v>2</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v>1139</v>
      </c>
      <c r="J11" s="196">
        <v>2983</v>
      </c>
      <c r="K11" s="196">
        <v>2994</v>
      </c>
      <c r="L11" s="196">
        <v>1127</v>
      </c>
      <c r="M11" s="196">
        <v>1423</v>
      </c>
      <c r="N11" s="196">
        <v>928</v>
      </c>
      <c r="O11" s="194">
        <v>1135</v>
      </c>
      <c r="P11" s="196">
        <v>523</v>
      </c>
      <c r="Q11" s="196">
        <v>676</v>
      </c>
      <c r="R11" s="196">
        <v>1233</v>
      </c>
      <c r="S11" s="196">
        <v>1511</v>
      </c>
      <c r="T11" s="196">
        <v>3335</v>
      </c>
      <c r="U11" s="196">
        <v>3707</v>
      </c>
      <c r="V11" s="196">
        <v>1139</v>
      </c>
      <c r="W11" s="196">
        <v>1729</v>
      </c>
      <c r="X11" s="202">
        <v>1106</v>
      </c>
      <c r="Y11" s="204">
        <v>20</v>
      </c>
      <c r="Z11" s="194">
        <v>181</v>
      </c>
      <c r="AA11" s="194">
        <v>186</v>
      </c>
      <c r="AB11" s="194">
        <v>15</v>
      </c>
      <c r="AC11" s="196">
        <v>0</v>
      </c>
      <c r="AD11" s="196">
        <v>0</v>
      </c>
      <c r="AE11" s="196">
        <v>0</v>
      </c>
      <c r="AF11" s="202">
        <v>0</v>
      </c>
      <c r="AG11" s="215">
        <v>27</v>
      </c>
      <c r="AH11" s="196">
        <v>163</v>
      </c>
      <c r="AI11" s="196">
        <v>170</v>
      </c>
      <c r="AJ11" s="216">
        <v>20</v>
      </c>
      <c r="AK11" s="195">
        <v>0</v>
      </c>
      <c r="AL11" s="196">
        <v>0</v>
      </c>
      <c r="AM11" s="196">
        <v>0</v>
      </c>
      <c r="AN11" s="202">
        <v>0</v>
      </c>
      <c r="AO11" s="283">
        <v>3</v>
      </c>
      <c r="AP11" s="168">
        <v>3</v>
      </c>
      <c r="AQ11" s="168">
        <v>3</v>
      </c>
      <c r="AR11" s="167">
        <v>3</v>
      </c>
      <c r="AS11" s="381" t="s">
        <v>1074</v>
      </c>
      <c r="AT11" s="216"/>
      <c r="AU11" s="215"/>
      <c r="AV11" s="216"/>
      <c r="AW11" s="215"/>
      <c r="AX11" s="216"/>
      <c r="AY11" s="136">
        <f t="shared" ref="AY11:BB12" si="1">IF(ISNUMBER(IF(J_V="SI",S11,S11+AG11)),IF(J_V="SI",S11,S11+AG11)," - ")</f>
        <v>1538</v>
      </c>
      <c r="AZ11" s="137">
        <f t="shared" si="1"/>
        <v>3498</v>
      </c>
      <c r="BA11" s="137">
        <f t="shared" si="1"/>
        <v>3877</v>
      </c>
      <c r="BB11" s="137">
        <f t="shared" si="1"/>
        <v>1159</v>
      </c>
      <c r="BC11" s="135">
        <f>IF(ISNUMBER(X11),X11," - ")</f>
        <v>1106</v>
      </c>
      <c r="BD11" s="136">
        <f t="shared" ref="BD11:BD13" si="2">IF(ISNUMBER(BA11/AZ11),BA11/AZ11," - ")</f>
        <v>1.1083476272155517</v>
      </c>
      <c r="BE11" s="137">
        <f t="shared" ref="BE11:BE13" si="3">IF(ISNUMBER(BB11/BA11),BB11/BA11, " - ")</f>
        <v>0.29894248129997419</v>
      </c>
      <c r="BF11" s="137">
        <f t="shared" ref="BF11:BF13" si="4">IF(ISNUMBER(BC11/BA11),BC11/BA11, " - ")</f>
        <v>0.28527211761671395</v>
      </c>
      <c r="BG11" s="209">
        <f t="shared" ref="BG11:BG13" si="5">IF(ISNUMBER((AY11+AZ11)/BA11),(AY11+AZ11)/BA11," - ")</f>
        <v>1.2989424812999741</v>
      </c>
      <c r="BH11" s="168">
        <v>3</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t="s">
        <v>1081</v>
      </c>
      <c r="J12" s="196" t="s">
        <v>1073</v>
      </c>
      <c r="K12" s="196" t="s">
        <v>1135</v>
      </c>
      <c r="L12" s="196" t="s">
        <v>1086</v>
      </c>
      <c r="M12" s="196" t="s">
        <v>653</v>
      </c>
      <c r="N12" s="196" t="s">
        <v>668</v>
      </c>
      <c r="O12" s="194" t="s">
        <v>286</v>
      </c>
      <c r="P12" s="196" t="s">
        <v>57</v>
      </c>
      <c r="Q12" s="196" t="s">
        <v>58</v>
      </c>
      <c r="R12" s="196" t="s">
        <v>125</v>
      </c>
      <c r="S12" s="196"/>
      <c r="T12" s="196"/>
      <c r="U12" s="196"/>
      <c r="V12" s="196"/>
      <c r="W12" s="196"/>
      <c r="X12" s="202"/>
      <c r="Y12" s="204" t="s">
        <v>179</v>
      </c>
      <c r="Z12" s="194" t="s">
        <v>180</v>
      </c>
      <c r="AA12" s="194" t="s">
        <v>181</v>
      </c>
      <c r="AB12" s="194" t="s">
        <v>182</v>
      </c>
      <c r="AC12" s="196"/>
      <c r="AD12" s="196"/>
      <c r="AE12" s="196"/>
      <c r="AF12" s="202"/>
      <c r="AG12" s="215"/>
      <c r="AH12" s="196"/>
      <c r="AI12" s="196"/>
      <c r="AJ12" s="216"/>
      <c r="AK12" s="195"/>
      <c r="AL12" s="196"/>
      <c r="AM12" s="196"/>
      <c r="AN12" s="202"/>
      <c r="AO12" s="283">
        <v>0</v>
      </c>
      <c r="AP12" s="168">
        <v>0</v>
      </c>
      <c r="AQ12" s="168">
        <v>0</v>
      </c>
      <c r="AR12" s="167">
        <v>0</v>
      </c>
      <c r="AS12" s="381" t="s">
        <v>1075</v>
      </c>
      <c r="AT12" s="216"/>
      <c r="AU12" s="215"/>
      <c r="AV12" s="216"/>
      <c r="AW12" s="215"/>
      <c r="AX12" s="216"/>
      <c r="AY12" s="136">
        <f t="shared" si="1"/>
        <v>0</v>
      </c>
      <c r="AZ12" s="137">
        <f t="shared" si="1"/>
        <v>0</v>
      </c>
      <c r="BA12" s="137">
        <f t="shared" si="1"/>
        <v>0</v>
      </c>
      <c r="BB12" s="137">
        <f t="shared" si="1"/>
        <v>0</v>
      </c>
      <c r="BC12" s="135" t="str">
        <f>IF(ISNUMBER(X12),X12," - ")</f>
        <v xml:space="preserve"> - </v>
      </c>
      <c r="BD12" s="136" t="str">
        <f t="shared" si="2"/>
        <v xml:space="preserve"> - </v>
      </c>
      <c r="BE12" s="137" t="str">
        <f t="shared" si="3"/>
        <v xml:space="preserve"> - </v>
      </c>
      <c r="BF12" s="137" t="str">
        <f t="shared" si="4"/>
        <v xml:space="preserve"> - </v>
      </c>
      <c r="BG12" s="209" t="str">
        <f t="shared" si="5"/>
        <v xml:space="preserve"> - </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13350</v>
      </c>
      <c r="J14" s="197">
        <f t="shared" si="7"/>
        <v>26736</v>
      </c>
      <c r="K14" s="197">
        <f t="shared" si="7"/>
        <v>28167</v>
      </c>
      <c r="L14" s="197">
        <f t="shared" si="7"/>
        <v>13036</v>
      </c>
      <c r="M14" s="197">
        <f t="shared" si="7"/>
        <v>8058</v>
      </c>
      <c r="N14" s="197">
        <f t="shared" si="7"/>
        <v>12355</v>
      </c>
      <c r="O14" s="197">
        <f t="shared" si="7"/>
        <v>14992</v>
      </c>
      <c r="P14" s="197">
        <f t="shared" si="7"/>
        <v>6694</v>
      </c>
      <c r="Q14" s="197">
        <f t="shared" si="7"/>
        <v>10991</v>
      </c>
      <c r="R14" s="197">
        <f t="shared" si="7"/>
        <v>22571</v>
      </c>
      <c r="S14" s="197">
        <f t="shared" si="7"/>
        <v>16307</v>
      </c>
      <c r="T14" s="197">
        <f t="shared" si="7"/>
        <v>25833</v>
      </c>
      <c r="U14" s="197">
        <f t="shared" si="7"/>
        <v>29060</v>
      </c>
      <c r="V14" s="197">
        <f t="shared" si="7"/>
        <v>13350</v>
      </c>
      <c r="W14" s="197">
        <f t="shared" si="7"/>
        <v>8545</v>
      </c>
      <c r="X14" s="197">
        <f t="shared" si="7"/>
        <v>12128</v>
      </c>
      <c r="Y14" s="197">
        <f t="shared" si="7"/>
        <v>497</v>
      </c>
      <c r="Z14" s="197">
        <f t="shared" si="7"/>
        <v>2941</v>
      </c>
      <c r="AA14" s="197">
        <f t="shared" si="7"/>
        <v>3006</v>
      </c>
      <c r="AB14" s="197">
        <f t="shared" si="7"/>
        <v>422</v>
      </c>
      <c r="AC14" s="197">
        <f t="shared" si="7"/>
        <v>0</v>
      </c>
      <c r="AD14" s="197">
        <f t="shared" si="7"/>
        <v>0</v>
      </c>
      <c r="AE14" s="197">
        <f t="shared" si="7"/>
        <v>0</v>
      </c>
      <c r="AF14" s="197">
        <f>SUBTOTAL(9,AF9:AF13)</f>
        <v>0</v>
      </c>
      <c r="AG14" s="197">
        <f t="shared" ref="AG14:AT14" si="8">SUBTOTAL(9,AG8:AG13)</f>
        <v>399</v>
      </c>
      <c r="AH14" s="197">
        <f t="shared" si="8"/>
        <v>3311</v>
      </c>
      <c r="AI14" s="197">
        <f t="shared" si="8"/>
        <v>3223</v>
      </c>
      <c r="AJ14" s="197">
        <f t="shared" si="8"/>
        <v>497</v>
      </c>
      <c r="AK14" s="197">
        <f t="shared" si="8"/>
        <v>0</v>
      </c>
      <c r="AL14" s="197">
        <f t="shared" si="8"/>
        <v>0</v>
      </c>
      <c r="AM14" s="197">
        <f t="shared" si="8"/>
        <v>0</v>
      </c>
      <c r="AN14" s="197">
        <f t="shared" si="8"/>
        <v>0</v>
      </c>
      <c r="AO14" s="197">
        <f t="shared" si="8"/>
        <v>21</v>
      </c>
      <c r="AP14" s="197">
        <f t="shared" si="8"/>
        <v>21</v>
      </c>
      <c r="AQ14" s="197">
        <f t="shared" si="8"/>
        <v>21</v>
      </c>
      <c r="AR14" s="197">
        <f t="shared" si="8"/>
        <v>21</v>
      </c>
      <c r="AS14" s="197">
        <f t="shared" si="8"/>
        <v>0</v>
      </c>
      <c r="AT14" s="197">
        <f t="shared" si="8"/>
        <v>0</v>
      </c>
      <c r="AU14" s="217"/>
      <c r="AV14" s="142"/>
      <c r="AW14" s="217"/>
      <c r="AX14" s="142"/>
      <c r="AY14" s="197">
        <f>SUBTOTAL(9,AY8:AY13)</f>
        <v>16706</v>
      </c>
      <c r="AZ14" s="197">
        <f>SUBTOTAL(9,AZ8:AZ13)</f>
        <v>29144</v>
      </c>
      <c r="BA14" s="197">
        <f>SUBTOTAL(9,BA8:BA13)</f>
        <v>32283</v>
      </c>
      <c r="BB14" s="197">
        <f>SUBTOTAL(9,BB8:BB13)</f>
        <v>13847</v>
      </c>
      <c r="BC14" s="197">
        <f>SUBTOTAL(9,BC8:BC13)</f>
        <v>12117</v>
      </c>
      <c r="BD14" s="219">
        <f>IF(ISNUMBER(BA14/AZ14),BA14/AZ14," - ")</f>
        <v>1.1077065605270382</v>
      </c>
      <c r="BE14" s="220">
        <f>IF(ISNUMBER(BB14/BA14),BB14/BA14, " - ")</f>
        <v>0.42892544063438964</v>
      </c>
      <c r="BF14" s="220">
        <f>IF(ISNUMBER(BC14/BA14),BC14/BA14, " - ")</f>
        <v>0.37533686460366139</v>
      </c>
      <c r="BG14" s="221">
        <f>IF(ISNUMBER((AY14+AZ14)/BA14),(AY14+AZ14)/BA14," - ")</f>
        <v>1.4202521450918439</v>
      </c>
      <c r="BH14" s="153">
        <f>SUBTOTAL(9,BH8:BH13)</f>
        <v>21</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v>3824</v>
      </c>
      <c r="J16" s="196">
        <v>37466</v>
      </c>
      <c r="K16" s="196">
        <v>36875</v>
      </c>
      <c r="L16" s="196">
        <v>4756</v>
      </c>
      <c r="M16" s="196">
        <v>3675</v>
      </c>
      <c r="N16" s="196">
        <v>25921</v>
      </c>
      <c r="O16" s="194">
        <v>1205</v>
      </c>
      <c r="P16" s="196">
        <v>1671</v>
      </c>
      <c r="Q16" s="196">
        <v>1573</v>
      </c>
      <c r="R16" s="196">
        <v>846</v>
      </c>
      <c r="S16" s="196">
        <v>3862</v>
      </c>
      <c r="T16" s="196">
        <v>35853</v>
      </c>
      <c r="U16" s="196">
        <v>36190</v>
      </c>
      <c r="V16" s="196">
        <v>3824</v>
      </c>
      <c r="W16" s="196">
        <v>3750</v>
      </c>
      <c r="X16" s="202">
        <v>24866</v>
      </c>
      <c r="Y16" s="215">
        <v>0</v>
      </c>
      <c r="Z16" s="196">
        <v>0</v>
      </c>
      <c r="AA16" s="196">
        <v>0</v>
      </c>
      <c r="AB16" s="196">
        <v>0</v>
      </c>
      <c r="AC16" s="196">
        <v>3</v>
      </c>
      <c r="AD16" s="196">
        <v>23</v>
      </c>
      <c r="AE16" s="196">
        <v>22</v>
      </c>
      <c r="AF16" s="202">
        <v>4</v>
      </c>
      <c r="AG16" s="215">
        <v>0</v>
      </c>
      <c r="AH16" s="196">
        <v>0</v>
      </c>
      <c r="AI16" s="196">
        <v>0</v>
      </c>
      <c r="AJ16" s="216">
        <v>0</v>
      </c>
      <c r="AK16" s="195">
        <v>4</v>
      </c>
      <c r="AL16" s="196">
        <v>18</v>
      </c>
      <c r="AM16" s="196">
        <v>19</v>
      </c>
      <c r="AN16" s="202">
        <v>3</v>
      </c>
      <c r="AO16" s="283">
        <v>9</v>
      </c>
      <c r="AP16" s="168">
        <v>9</v>
      </c>
      <c r="AQ16" s="168">
        <v>9</v>
      </c>
      <c r="AR16" s="168">
        <v>9</v>
      </c>
      <c r="AS16" s="381" t="s">
        <v>702</v>
      </c>
      <c r="AT16" s="216" t="s">
        <v>424</v>
      </c>
      <c r="AU16" s="215"/>
      <c r="AV16" s="216"/>
      <c r="AW16" s="215"/>
      <c r="AX16" s="216"/>
      <c r="AY16" s="138">
        <f t="shared" ref="AY16:BB17" si="10">IF(ISNUMBER(IF(D_I="SI",S16,S16+AK16)),IF(D_I="SI",S16,S16+AK16)," - ")</f>
        <v>3862</v>
      </c>
      <c r="AZ16" s="139">
        <f t="shared" si="10"/>
        <v>35853</v>
      </c>
      <c r="BA16" s="139">
        <f t="shared" si="10"/>
        <v>36190</v>
      </c>
      <c r="BB16" s="139">
        <f t="shared" si="10"/>
        <v>3824</v>
      </c>
      <c r="BC16" s="135">
        <f>IF(ISNUMBER(W16),W16," - ")</f>
        <v>3750</v>
      </c>
      <c r="BD16" s="136">
        <f>IF(ISNUMBER(BA16/AZ16),BA16/AZ16," - ")</f>
        <v>1.0093994923716285</v>
      </c>
      <c r="BE16" s="137">
        <f>IF(ISNUMBER(BB16/BA16),BB16/BA16, " - ")</f>
        <v>0.10566454821773971</v>
      </c>
      <c r="BF16" s="137">
        <f>IF(ISNUMBER(BC16/BA16),BC16/BA16, " - ")</f>
        <v>0.1036197844708483</v>
      </c>
      <c r="BG16" s="209">
        <f t="shared" ref="BG16:BG22" si="11">IF(ISNUMBER((AY16+AZ16)/BA16),(AY16+AZ16)/BA16," - ")</f>
        <v>1.0974025974025974</v>
      </c>
      <c r="BH16" s="168">
        <v>9</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t="s">
        <v>651</v>
      </c>
      <c r="J17" s="196" t="s">
        <v>647</v>
      </c>
      <c r="K17" s="196" t="s">
        <v>648</v>
      </c>
      <c r="L17" s="196" t="s">
        <v>649</v>
      </c>
      <c r="M17" s="196" t="s">
        <v>654</v>
      </c>
      <c r="N17" s="196" t="s">
        <v>200</v>
      </c>
      <c r="O17" s="194" t="s">
        <v>287</v>
      </c>
      <c r="P17" s="196" t="s">
        <v>633</v>
      </c>
      <c r="Q17" s="196" t="s">
        <v>634</v>
      </c>
      <c r="R17" s="196" t="s">
        <v>635</v>
      </c>
      <c r="S17" s="196"/>
      <c r="T17" s="196"/>
      <c r="U17" s="196"/>
      <c r="V17" s="196"/>
      <c r="W17" s="196"/>
      <c r="X17" s="202"/>
      <c r="Y17" s="215"/>
      <c r="Z17" s="196"/>
      <c r="AA17" s="196"/>
      <c r="AB17" s="196"/>
      <c r="AC17" s="196" t="s">
        <v>66</v>
      </c>
      <c r="AD17" s="196" t="s">
        <v>75</v>
      </c>
      <c r="AE17" s="196" t="s">
        <v>76</v>
      </c>
      <c r="AF17" s="202" t="s">
        <v>77</v>
      </c>
      <c r="AG17" s="215"/>
      <c r="AH17" s="196"/>
      <c r="AI17" s="196"/>
      <c r="AJ17" s="216"/>
      <c r="AK17" s="195"/>
      <c r="AL17" s="196"/>
      <c r="AM17" s="196"/>
      <c r="AN17" s="202"/>
      <c r="AO17" s="283">
        <v>0</v>
      </c>
      <c r="AP17" s="168">
        <v>0</v>
      </c>
      <c r="AQ17" s="168">
        <v>0</v>
      </c>
      <c r="AR17" s="168">
        <v>0</v>
      </c>
      <c r="AS17" s="381" t="s">
        <v>650</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453</v>
      </c>
      <c r="J18" s="196">
        <v>3137</v>
      </c>
      <c r="K18" s="196">
        <v>3112</v>
      </c>
      <c r="L18" s="196">
        <v>372</v>
      </c>
      <c r="M18" s="196">
        <v>541</v>
      </c>
      <c r="N18" s="196">
        <v>2270</v>
      </c>
      <c r="O18" s="196">
        <v>198</v>
      </c>
      <c r="P18" s="196">
        <v>208</v>
      </c>
      <c r="Q18" s="196">
        <v>265</v>
      </c>
      <c r="R18" s="196">
        <v>99</v>
      </c>
      <c r="S18" s="196">
        <v>447</v>
      </c>
      <c r="T18" s="196">
        <v>2861</v>
      </c>
      <c r="U18" s="196">
        <v>2869</v>
      </c>
      <c r="V18" s="196">
        <v>453</v>
      </c>
      <c r="W18" s="196">
        <v>543</v>
      </c>
      <c r="X18" s="202">
        <v>2228</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2</v>
      </c>
      <c r="AP18" s="168">
        <v>2</v>
      </c>
      <c r="AQ18" s="167">
        <v>2</v>
      </c>
      <c r="AR18" s="168">
        <v>2</v>
      </c>
      <c r="AS18" s="380" t="s">
        <v>1065</v>
      </c>
      <c r="AT18" s="223"/>
      <c r="AU18" s="213"/>
      <c r="AV18" s="223"/>
      <c r="AW18" s="213"/>
      <c r="AX18" s="223"/>
      <c r="AY18" s="138">
        <f t="shared" ref="AY18:BB19" si="15">IF(ISNUMBER(S18),S18," - ")</f>
        <v>447</v>
      </c>
      <c r="AZ18" s="139">
        <f t="shared" si="15"/>
        <v>2861</v>
      </c>
      <c r="BA18" s="139">
        <f t="shared" si="15"/>
        <v>2869</v>
      </c>
      <c r="BB18" s="139">
        <f t="shared" si="15"/>
        <v>453</v>
      </c>
      <c r="BC18" s="135">
        <f>IF(ISNUMBER(W18),W18," - ")</f>
        <v>543</v>
      </c>
      <c r="BD18" s="136">
        <f>IF(ISNUMBER(BA18/AZ18),BA18/AZ18," - ")</f>
        <v>1.0027962250961202</v>
      </c>
      <c r="BE18" s="137">
        <f>IF(ISNUMBER(BB18/BA18),BB18/BA18, " - ")</f>
        <v>0.15789473684210525</v>
      </c>
      <c r="BF18" s="137">
        <f>IF(ISNUMBER(BC18/BA18),BC18/BA18, " - ")</f>
        <v>0.18926455210874868</v>
      </c>
      <c r="BG18" s="209">
        <f>IF(ISNUMBER((AY18+AZ18)/BA18),(AY18+AZ18)/BA18," - ")</f>
        <v>1.1530149878006275</v>
      </c>
      <c r="BH18" s="168">
        <v>2</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4277</v>
      </c>
      <c r="J23" s="197">
        <f t="shared" si="21"/>
        <v>40603</v>
      </c>
      <c r="K23" s="197">
        <f t="shared" si="21"/>
        <v>39987</v>
      </c>
      <c r="L23" s="197">
        <f t="shared" si="21"/>
        <v>5128</v>
      </c>
      <c r="M23" s="197">
        <f t="shared" si="21"/>
        <v>4216</v>
      </c>
      <c r="N23" s="197">
        <f t="shared" si="21"/>
        <v>28191</v>
      </c>
      <c r="O23" s="197">
        <f t="shared" si="21"/>
        <v>1403</v>
      </c>
      <c r="P23" s="197">
        <f t="shared" si="21"/>
        <v>1879</v>
      </c>
      <c r="Q23" s="197">
        <f t="shared" si="21"/>
        <v>1838</v>
      </c>
      <c r="R23" s="197">
        <f t="shared" si="21"/>
        <v>945</v>
      </c>
      <c r="S23" s="197">
        <f t="shared" si="21"/>
        <v>4309</v>
      </c>
      <c r="T23" s="197">
        <f t="shared" si="21"/>
        <v>38714</v>
      </c>
      <c r="U23" s="197">
        <f t="shared" si="21"/>
        <v>39059</v>
      </c>
      <c r="V23" s="197">
        <f t="shared" si="21"/>
        <v>4277</v>
      </c>
      <c r="W23" s="197">
        <f t="shared" si="21"/>
        <v>4293</v>
      </c>
      <c r="X23" s="197">
        <f t="shared" si="21"/>
        <v>27094</v>
      </c>
      <c r="Y23" s="197">
        <f t="shared" si="21"/>
        <v>0</v>
      </c>
      <c r="Z23" s="197">
        <f t="shared" si="21"/>
        <v>0</v>
      </c>
      <c r="AA23" s="197">
        <f t="shared" si="21"/>
        <v>0</v>
      </c>
      <c r="AB23" s="197">
        <f t="shared" si="21"/>
        <v>0</v>
      </c>
      <c r="AC23" s="197">
        <f t="shared" si="21"/>
        <v>3</v>
      </c>
      <c r="AD23" s="197">
        <f t="shared" si="21"/>
        <v>23</v>
      </c>
      <c r="AE23" s="197">
        <f t="shared" si="21"/>
        <v>22</v>
      </c>
      <c r="AF23" s="197">
        <f t="shared" si="21"/>
        <v>4</v>
      </c>
      <c r="AG23" s="197">
        <f t="shared" si="21"/>
        <v>0</v>
      </c>
      <c r="AH23" s="197">
        <f t="shared" si="21"/>
        <v>0</v>
      </c>
      <c r="AI23" s="197">
        <f t="shared" si="21"/>
        <v>0</v>
      </c>
      <c r="AJ23" s="197">
        <f t="shared" si="21"/>
        <v>0</v>
      </c>
      <c r="AK23" s="197">
        <f t="shared" si="21"/>
        <v>4</v>
      </c>
      <c r="AL23" s="197">
        <f t="shared" si="21"/>
        <v>18</v>
      </c>
      <c r="AM23" s="197">
        <f t="shared" si="21"/>
        <v>19</v>
      </c>
      <c r="AN23" s="197">
        <f t="shared" si="21"/>
        <v>3</v>
      </c>
      <c r="AO23" s="197">
        <f t="shared" si="21"/>
        <v>11</v>
      </c>
      <c r="AP23" s="197">
        <f t="shared" si="21"/>
        <v>11</v>
      </c>
      <c r="AQ23" s="197">
        <f t="shared" si="21"/>
        <v>11</v>
      </c>
      <c r="AR23" s="197">
        <f t="shared" si="21"/>
        <v>11</v>
      </c>
      <c r="AS23" s="197">
        <f t="shared" si="21"/>
        <v>0</v>
      </c>
      <c r="AT23" s="197">
        <f t="shared" si="21"/>
        <v>0</v>
      </c>
      <c r="AU23" s="217"/>
      <c r="AV23" s="142"/>
      <c r="AW23" s="217"/>
      <c r="AX23" s="142"/>
      <c r="AY23" s="197">
        <f>SUBTOTAL(9,AY15:AY22)</f>
        <v>4309</v>
      </c>
      <c r="AZ23" s="197">
        <f>SUBTOTAL(9,AZ15:AZ22)</f>
        <v>38714</v>
      </c>
      <c r="BA23" s="197">
        <f>SUBTOTAL(9,BA15:BA22)</f>
        <v>39059</v>
      </c>
      <c r="BB23" s="197">
        <f>SUBTOTAL(9,BB15:BB22)</f>
        <v>4277</v>
      </c>
      <c r="BC23" s="197">
        <f>SUBTOTAL(9,BC15:BC22)</f>
        <v>4293</v>
      </c>
      <c r="BD23" s="219">
        <f>IF(ISNUMBER(BA23/AZ23),BA23/AZ23," - ")</f>
        <v>1.0089115048819548</v>
      </c>
      <c r="BE23" s="220">
        <f>IF(ISNUMBER(BB23/BA23),BB23/BA23, " - ")</f>
        <v>0.10950101129061164</v>
      </c>
      <c r="BF23" s="220">
        <f>IF(ISNUMBER(BC23/BA23),BC23/BA23, " - ")</f>
        <v>0.10991064799406026</v>
      </c>
      <c r="BG23" s="221">
        <f>IF(ISNUMBER((AY23+AZ23)/BA23),(AY23+AZ23)/BA23," - ")</f>
        <v>1.1014874932793979</v>
      </c>
      <c r="BH23" s="197">
        <f>SUBTOTAL(9,BH15:BH22)</f>
        <v>11</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17627</v>
      </c>
      <c r="J31" s="144">
        <f t="shared" si="36"/>
        <v>67339</v>
      </c>
      <c r="K31" s="144">
        <f t="shared" si="36"/>
        <v>68154</v>
      </c>
      <c r="L31" s="144">
        <f t="shared" si="36"/>
        <v>18164</v>
      </c>
      <c r="M31" s="144">
        <f t="shared" si="36"/>
        <v>12274</v>
      </c>
      <c r="N31" s="144">
        <f t="shared" si="36"/>
        <v>40546</v>
      </c>
      <c r="O31" s="144">
        <f t="shared" si="36"/>
        <v>16395</v>
      </c>
      <c r="P31" s="144">
        <f t="shared" si="36"/>
        <v>8573</v>
      </c>
      <c r="Q31" s="144">
        <f t="shared" si="36"/>
        <v>12829</v>
      </c>
      <c r="R31" s="144">
        <f t="shared" si="36"/>
        <v>23516</v>
      </c>
      <c r="S31" s="144">
        <f t="shared" si="36"/>
        <v>20616</v>
      </c>
      <c r="T31" s="144">
        <f t="shared" si="36"/>
        <v>64547</v>
      </c>
      <c r="U31" s="144">
        <f t="shared" si="36"/>
        <v>68119</v>
      </c>
      <c r="V31" s="144">
        <f t="shared" si="36"/>
        <v>17627</v>
      </c>
      <c r="W31" s="144">
        <f t="shared" si="36"/>
        <v>12838</v>
      </c>
      <c r="X31" s="144">
        <f t="shared" si="36"/>
        <v>39222</v>
      </c>
      <c r="Y31" s="144">
        <f t="shared" si="36"/>
        <v>497</v>
      </c>
      <c r="Z31" s="144">
        <f t="shared" si="36"/>
        <v>2941</v>
      </c>
      <c r="AA31" s="144">
        <f t="shared" si="36"/>
        <v>3006</v>
      </c>
      <c r="AB31" s="144">
        <f t="shared" si="36"/>
        <v>422</v>
      </c>
      <c r="AC31" s="144">
        <f t="shared" si="36"/>
        <v>3</v>
      </c>
      <c r="AD31" s="144">
        <f t="shared" si="36"/>
        <v>23</v>
      </c>
      <c r="AE31" s="144">
        <f t="shared" si="36"/>
        <v>22</v>
      </c>
      <c r="AF31" s="144">
        <f t="shared" si="36"/>
        <v>4</v>
      </c>
      <c r="AG31" s="144">
        <f t="shared" si="36"/>
        <v>399</v>
      </c>
      <c r="AH31" s="144">
        <f t="shared" si="36"/>
        <v>3311</v>
      </c>
      <c r="AI31" s="144">
        <f t="shared" si="36"/>
        <v>3223</v>
      </c>
      <c r="AJ31" s="144">
        <f t="shared" si="36"/>
        <v>497</v>
      </c>
      <c r="AK31" s="144">
        <f t="shared" si="36"/>
        <v>4</v>
      </c>
      <c r="AL31" s="144">
        <f t="shared" si="36"/>
        <v>18</v>
      </c>
      <c r="AM31" s="144">
        <f t="shared" si="36"/>
        <v>19</v>
      </c>
      <c r="AN31" s="224">
        <f t="shared" si="36"/>
        <v>3</v>
      </c>
      <c r="AO31" s="225">
        <v>30</v>
      </c>
      <c r="AP31" s="225">
        <v>30</v>
      </c>
      <c r="AQ31" s="225">
        <v>30</v>
      </c>
      <c r="AR31" s="225">
        <v>30</v>
      </c>
      <c r="AS31" s="166">
        <f t="shared" si="36"/>
        <v>0</v>
      </c>
      <c r="AT31" s="166">
        <f t="shared" si="36"/>
        <v>0</v>
      </c>
      <c r="AU31" s="225"/>
      <c r="AV31" s="226"/>
      <c r="AW31" s="225"/>
      <c r="AX31" s="226"/>
      <c r="AY31" s="143">
        <f>SUBTOTAL(9,AY9:AY30)</f>
        <v>21015</v>
      </c>
      <c r="AZ31" s="144">
        <f>SUBTOTAL(9,AZ9:AZ30)</f>
        <v>67858</v>
      </c>
      <c r="BA31" s="144">
        <f>SUBTOTAL(9,BA9:BA30)</f>
        <v>71342</v>
      </c>
      <c r="BB31" s="144">
        <f>SUBTOTAL(9,BB9:BB30)</f>
        <v>18124</v>
      </c>
      <c r="BC31" s="145">
        <f>SUBTOTAL(9,BC9:BC30)</f>
        <v>16410</v>
      </c>
      <c r="BD31" s="227">
        <f>IF(ISNUMBER(BA31/AZ31),BA31/AZ31," - ")</f>
        <v>1.0513425093577766</v>
      </c>
      <c r="BE31" s="224">
        <f>IF(ISNUMBER(BB31/BA31),BB31/BA31, " - ")</f>
        <v>0.25404390120826442</v>
      </c>
      <c r="BF31" s="224">
        <f>IF(ISNUMBER(BC31/BA31),BC31/BA31, " - ")</f>
        <v>0.23001878276471083</v>
      </c>
      <c r="BG31" s="145">
        <f>IF(ISNUMBER((AY31+AZ31)/BA31),(AY31+AZ31)/BA31," - ")</f>
        <v>1.2457318269742927</v>
      </c>
      <c r="BH31" s="225">
        <f>SUBTOTAL(9,BH9:BH30)</f>
        <v>32</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wGR3gl7EDicEJ0emn1/7OR5HIPjSmG4b4ZEKinwXAJSA6pUoX4hsoEs1qwW1xatIBZUe+zbyW4mMM/ASFRESiA==" saltValue="/MZ2aMywmVsStwm30p3GI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GRANADA</v>
      </c>
      <c r="CE4" s="1828" t="s">
        <v>350</v>
      </c>
      <c r="CF4" s="1829"/>
      <c r="CG4" s="1829"/>
      <c r="CH4" s="1830"/>
    </row>
    <row r="5" spans="1:155" ht="12.75" customHeight="1" thickBot="1">
      <c r="A5" s="1798" t="str">
        <f>"Año:  " &amp;Criterios!B5 &amp; "                  Trimestre   " &amp;Criterios!D5 &amp; " al " &amp;Criterios!D6</f>
        <v>Año:  2022                  Trimestre   1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EbYh0SMr5u3ACKvOjyjBHVuBc6tuvZUvLVEr0uIHYftP06pBnqKdIg0BKpCOItVGstlmaYM6ugetjZjU/3v2qA==" saltValue="N0NZKpA4siC5gCdqIf9yB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GRANADA  Resumenes por Partidos Judiciales  GRANADA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16</v>
      </c>
      <c r="B9" s="745" t="s">
        <v>321</v>
      </c>
      <c r="C9" s="765" t="str">
        <f>Datos!A9</f>
        <v xml:space="preserve">Jdos. 1ª Instancia   </v>
      </c>
      <c r="D9" s="593"/>
      <c r="E9" s="764">
        <f>IF(ISNUMBER(Datos!AQ9),Datos!AQ9," - ")</f>
        <v>16</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2760</v>
      </c>
      <c r="O9" s="549"/>
      <c r="P9" s="549"/>
      <c r="Q9" s="547">
        <f>IF(ISNUMBER(Datos!P9),Datos!P9,0)</f>
        <v>6051</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10212</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407</v>
      </c>
      <c r="AI9" s="549" t="str">
        <f>IF(ISNUMBER(Datos!CD9),Datos!CD9,"-")</f>
        <v>-</v>
      </c>
      <c r="AJ9" s="549" t="str">
        <f>IF(ISNUMBER(Datos!EN9),Datos!EN9," - ")</f>
        <v xml:space="preserve"> - </v>
      </c>
      <c r="AK9" s="549"/>
      <c r="AL9" s="550"/>
      <c r="AM9" s="766">
        <f>IF(ISNUMBER(Datos!R9),Datos!R9," - ")</f>
        <v>21109</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6478</v>
      </c>
      <c r="BD9" s="693">
        <f>IF(ISNUMBER(Datos!N9),Datos!N9," - ")</f>
        <v>11259</v>
      </c>
      <c r="BE9" s="693" t="str">
        <f>IF(ISNUMBER(Datos!BW9),Datos!BW9," - ")</f>
        <v xml:space="preserve"> - </v>
      </c>
      <c r="BF9" s="762" t="str">
        <f>IF(ISNUMBER(Datos!BX9),Datos!BX9," - ")</f>
        <v xml:space="preserve"> - </v>
      </c>
      <c r="BG9" s="763">
        <f>IF(ISNUMBER(IF(J_V="SI",Datos!K9/Datos!J9,(Datos!K9+Datos!AA9)/(Datos!J9+Datos!Z9))),IF(J_V="SI",Datos!K9/Datos!J9,(Datos!K9+Datos!AA9)/(Datos!J9+Datos!Z9))," - ")</f>
        <v>1.059024315409987</v>
      </c>
      <c r="BH9" s="764">
        <f>IF(ISNUMBER(((IF(J_V="SI",Datos!L9/Datos!K9,(Datos!L9+Datos!AB9)/(Datos!K9+Datos!AA9)))*11)/factor_trimestre),((IF(J_V="SI",Datos!L9/Datos!K9,(Datos!L9+Datos!AB9)/(Datos!K9+Datos!AA9)))*11)/factor_trimestre," - ")</f>
        <v>4.7994785065005612</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-0.16466165413533834</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2</v>
      </c>
      <c r="B10" s="746" t="s">
        <v>321</v>
      </c>
      <c r="C10" s="747" t="str">
        <f>Datos!A10</f>
        <v>Jdos. Violencia contra la mujer</v>
      </c>
      <c r="D10" s="601"/>
      <c r="E10" s="764">
        <f>IF(ISNUMBER(Datos!AQ10),Datos!AQ10," - ")</f>
        <v>2</v>
      </c>
      <c r="F10" s="552">
        <f>IF(ISNUMBER(Datos!L10+Datos!K10-Datos!J10),Datos!L10+Datos!K10-Datos!J10," - ")</f>
        <v>209</v>
      </c>
      <c r="G10" s="543">
        <f>IF(ISNUMBER(Datos!I10),Datos!I10," - ")</f>
        <v>209</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120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380</v>
      </c>
      <c r="AC10" s="547">
        <f>IF(ISNUMBER(Datos!Q10),Datos!Q10," - ")</f>
        <v>103</v>
      </c>
      <c r="AD10" s="549"/>
      <c r="AE10" s="563"/>
      <c r="AF10" s="551">
        <f>IF(ISNUMBER(Datos!L10),Datos!L10,"-")</f>
        <v>268</v>
      </c>
      <c r="AG10" s="549"/>
      <c r="AH10" s="549"/>
      <c r="AI10" s="549"/>
      <c r="AJ10" s="549"/>
      <c r="AK10" s="549"/>
      <c r="AL10" s="550"/>
      <c r="AM10" s="766">
        <f>IF(ISNUMBER(Datos!R10),Datos!R10," - ")</f>
        <v>229</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157</v>
      </c>
      <c r="BD10" s="693">
        <f>IF(ISNUMBER(Datos!N10),Datos!N10," - ")</f>
        <v>168</v>
      </c>
      <c r="BE10" s="693" t="str">
        <f>IF(ISNUMBER(Datos!BW10),Datos!BW10," - ")</f>
        <v xml:space="preserve"> - </v>
      </c>
      <c r="BF10" s="762" t="str">
        <f>IF(ISNUMBER(Datos!BX10),Datos!BX10," - ")</f>
        <v xml:space="preserve"> - </v>
      </c>
      <c r="BG10" s="763">
        <f>IF(ISNUMBER(Datos!K10/Datos!J10),Datos!K10/Datos!J10," - ")</f>
        <v>0.86560364464692485</v>
      </c>
      <c r="BH10" s="764">
        <f>IF(ISNUMBER(((Datos!L10/Datos!K10)*11)/factor_trimestre),((Datos!L10/Datos!K10)*11)/factor_trimestre," - ")</f>
        <v>7.757894736842105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8.0188679245283015E-2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3</v>
      </c>
      <c r="B11" s="746" t="s">
        <v>321</v>
      </c>
      <c r="C11" s="747" t="str">
        <f>Datos!A11</f>
        <v xml:space="preserve">Jdos. Familia                                   </v>
      </c>
      <c r="D11" s="601"/>
      <c r="E11" s="764">
        <f>IF(ISNUMBER(Datos!AQ11),Datos!AQ11," - ")</f>
        <v>3</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f>IF(ISNUMBER(Datos!Z11),Datos!Z11," - ")</f>
        <v>181</v>
      </c>
      <c r="O11" s="549"/>
      <c r="P11" s="549"/>
      <c r="Q11" s="547">
        <f>IF(ISNUMBER(Datos!P11),Datos!P11,0)</f>
        <v>523</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f>IF(ISNUMBER(Datos!Q11),Datos!Q11," - ")</f>
        <v>676</v>
      </c>
      <c r="AD11" s="549"/>
      <c r="AE11" s="563"/>
      <c r="AF11" s="551" t="str">
        <f>IF(ISNUMBER(IF(J_V="SI",Datos!L11,Datos!L11+Datos!AB11)-IF(Monitorios="SI",Datos!CD11,0)),
                          IF(J_V="SI",Datos!L11,Datos!L11+Datos!AB11)-IF(Monitorios="SI",Datos!CD11,0),
                          " - ")</f>
        <v xml:space="preserve"> - </v>
      </c>
      <c r="AG11" s="549"/>
      <c r="AH11" s="549">
        <f>IF(ISNUMBER(Datos!AB11),Datos!AB11,"-")</f>
        <v>15</v>
      </c>
      <c r="AI11" s="549"/>
      <c r="AJ11" s="549"/>
      <c r="AK11" s="549"/>
      <c r="AL11" s="550"/>
      <c r="AM11" s="766">
        <f>IF(ISNUMBER(Datos!R11),Datos!R11," - ")</f>
        <v>1233</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f>IF(ISNUMBER(Datos!M11),Datos!M11," - ")</f>
        <v>1423</v>
      </c>
      <c r="BD11" s="693">
        <f>IF(ISNUMBER(Datos!N11),Datos!N11," - ")</f>
        <v>928</v>
      </c>
      <c r="BE11" s="693" t="str">
        <f>IF(ISNUMBER(Datos!BW11),Datos!BW11," - ")</f>
        <v xml:space="preserve"> - </v>
      </c>
      <c r="BF11" s="762" t="str">
        <f>IF(ISNUMBER(Datos!BX11),Datos!BX11," - ")</f>
        <v xml:space="preserve"> - </v>
      </c>
      <c r="BG11" s="763">
        <f>IF(ISNUMBER(IF(J_V="SI",Datos!K11/Datos!J11,(Datos!K11+Datos!AA11)/(Datos!J11+Datos!Z11))),IF(J_V="SI",Datos!K11/Datos!J11,(Datos!K11+Datos!AA11)/(Datos!J11+Datos!Z11))," - ")</f>
        <v>1.0050568900126422</v>
      </c>
      <c r="BH11" s="764">
        <f>IF(ISNUMBER(((IF(J_V="SI",Datos!L11/Datos!K11,(Datos!L11+Datos!AB11)/(Datos!K11+Datos!AA11)))*11)/factor_trimestre),((IF(J_V="SI",Datos!L11/Datos!K11,(Datos!L11+Datos!AB11)/(Datos!K11+Datos!AA11)))*11)/factor_trimestre," - ")</f>
        <v>3.9503144654088049</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f>IF(ISNUMBER((Datos!P11-Datos!Q11+Datos!DE11)/(Datos!R11-Datos!P11+Datos!Q11-Datos!DE11)),(Datos!P11-Datos!Q11+Datos!DE11)/(Datos!R11-Datos!P11+Datos!Q11-Datos!DE11)," - ")</f>
        <v>-0.11038961038961038</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0</v>
      </c>
      <c r="B12" s="746" t="s">
        <v>321</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t="str">
        <f>IF(ISNUMBER(Datos!Z12),Datos!Z12," - ")</f>
        <v xml:space="preserve"> - </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t="str">
        <f>IF(ISNUMBER(Datos!Q12),Datos!Q12," - ")</f>
        <v xml:space="preserve"> - </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t="str">
        <f>IF(ISNUMBER(Datos!AB12),Datos!AB12,"-")</f>
        <v>-</v>
      </c>
      <c r="AI12" s="549" t="str">
        <f>IF(ISNUMBER(Datos!CD12),Datos!CD12,"-")</f>
        <v>-</v>
      </c>
      <c r="AJ12" s="549" t="str">
        <f>IF(ISNUMBER(Datos!EN12),Datos!EN12," - ")</f>
        <v xml:space="preserve"> - </v>
      </c>
      <c r="AK12" s="549"/>
      <c r="AL12" s="550"/>
      <c r="AM12" s="766" t="str">
        <f>IF(ISNUMBER(Datos!R12),Datos!R12," - ")</f>
        <v xml:space="preserve"> - </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t="str">
        <f>IF(ISNUMBER(Datos!M12),Datos!M12," - ")</f>
        <v xml:space="preserve"> - </v>
      </c>
      <c r="BD12" s="693" t="str">
        <f>IF(ISNUMBER(Datos!N12),Datos!N12," - ")</f>
        <v xml:space="preserve"> - </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21</v>
      </c>
      <c r="F14" s="1197">
        <f t="shared" si="1"/>
        <v>209</v>
      </c>
      <c r="G14" s="1197">
        <f t="shared" si="1"/>
        <v>209</v>
      </c>
      <c r="H14" s="1198">
        <f t="shared" si="1"/>
        <v>0</v>
      </c>
      <c r="I14" s="1197">
        <f t="shared" si="1"/>
        <v>0</v>
      </c>
      <c r="J14" s="1164">
        <f t="shared" si="1"/>
        <v>0</v>
      </c>
      <c r="K14" s="1164">
        <f t="shared" si="1"/>
        <v>0</v>
      </c>
      <c r="L14" s="1198">
        <f t="shared" si="1"/>
        <v>0</v>
      </c>
      <c r="M14" s="1198">
        <f t="shared" si="1"/>
        <v>0</v>
      </c>
      <c r="N14" s="1198">
        <f t="shared" si="1"/>
        <v>2941</v>
      </c>
      <c r="O14" s="1199">
        <f t="shared" si="1"/>
        <v>0</v>
      </c>
      <c r="P14" s="1199">
        <f t="shared" si="1"/>
        <v>0</v>
      </c>
      <c r="Q14" s="1198">
        <f t="shared" si="1"/>
        <v>6694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380</v>
      </c>
      <c r="AC14" s="1198">
        <f t="shared" si="2"/>
        <v>10991</v>
      </c>
      <c r="AD14" s="1198">
        <f t="shared" si="2"/>
        <v>0</v>
      </c>
      <c r="AE14" s="1198">
        <f t="shared" si="2"/>
        <v>0</v>
      </c>
      <c r="AF14" s="1198">
        <f t="shared" si="2"/>
        <v>268</v>
      </c>
      <c r="AG14" s="1198">
        <f t="shared" si="2"/>
        <v>0</v>
      </c>
      <c r="AH14" s="1198">
        <f t="shared" si="2"/>
        <v>422</v>
      </c>
      <c r="AI14" s="1198">
        <f t="shared" si="2"/>
        <v>0</v>
      </c>
      <c r="AJ14" s="1198">
        <f t="shared" si="2"/>
        <v>0</v>
      </c>
      <c r="AK14" s="1198">
        <f t="shared" si="2"/>
        <v>0</v>
      </c>
      <c r="AL14" s="1198">
        <f t="shared" si="2"/>
        <v>0</v>
      </c>
      <c r="AM14" s="1198">
        <f t="shared" si="2"/>
        <v>22571</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8058</v>
      </c>
      <c r="BD14" s="1198">
        <f t="shared" si="2"/>
        <v>12355</v>
      </c>
      <c r="BE14" s="1198">
        <f t="shared" si="2"/>
        <v>0</v>
      </c>
      <c r="BF14" s="1198">
        <f t="shared" si="2"/>
        <v>0</v>
      </c>
      <c r="BG14" s="1198">
        <f>IF(ISNUMBER(Datos!K14/Datos!J14),Datos!K14/Datos!J14," - ")</f>
        <v>1.0535233393177739</v>
      </c>
      <c r="BH14" s="1202">
        <f>IF(ISNUMBER(((Datos!L14/Datos!K14)*11)/factor_trimestre),((Datos!L14/Datos!K14)*11)/factor_trimestre," - ")</f>
        <v>5.090922000923066</v>
      </c>
      <c r="BI14" s="1198">
        <f>IF(ISNUMBER('Resol  Asuntos'!D14/NºAsuntos!G14),'Resol  Asuntos'!D14/NºAsuntos!G14," - ")</f>
        <v>0.25849292657107115</v>
      </c>
      <c r="BJ14" s="1198" t="str">
        <f>IF(ISNUMBER(Datos!CI14/Datos!CJ14),Datos!CI14/Datos!CJ14," - ")</f>
        <v xml:space="preserve"> - </v>
      </c>
      <c r="BK14" s="1198">
        <f>SUBTOTAL(9,BK8:BK13)</f>
        <v>0</v>
      </c>
      <c r="BL14" s="1198">
        <f>IF(ISNUMBER((I14-AB14+L14)/(F14)),(I14-AB14+L14)/(F14)," - ")</f>
        <v>-1.8181818181818181</v>
      </c>
      <c r="BM14" s="1203">
        <f>SUBTOTAL(9,BM9:BM13)</f>
        <v>-0.19486258527966571</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9</v>
      </c>
      <c r="B16" s="737" t="s">
        <v>511</v>
      </c>
      <c r="C16" s="749" t="str">
        <f>Datos!A16</f>
        <v xml:space="preserve">Jdos. Instrucción                               </v>
      </c>
      <c r="D16" s="750"/>
      <c r="E16" s="1555">
        <f>IF(ISNUMBER(Datos!AQ16),Datos!AQ16," - ")</f>
        <v>9</v>
      </c>
      <c r="F16" s="740">
        <f>IF(ISNUMBER(AF16+AB16-Datos!J16-L16),AF16+AB16-Datos!J16-L16," - ")</f>
        <v>4165</v>
      </c>
      <c r="G16" s="743">
        <f>IF(ISNUMBER(IF(D_I="SI",Datos!I16,Datos!I16+Datos!AC16)),IF(D_I="SI",Datos!I16,Datos!I16+Datos!AC16)," - ")</f>
        <v>3824</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1671</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36875</v>
      </c>
      <c r="AC16" s="240">
        <f>IF(ISNUMBER(Datos!Q16),Datos!Q16," - ")</f>
        <v>1573</v>
      </c>
      <c r="AD16" s="374"/>
      <c r="AE16" s="562"/>
      <c r="AF16" s="741">
        <f>IF(ISNUMBER(IF(D_I="SI",Datos!L16,Datos!L16+Datos!AF16)),IF(D_I="SI",Datos!L16,Datos!L16+Datos!AF16)," - ")</f>
        <v>4756</v>
      </c>
      <c r="AG16" s="374"/>
      <c r="AH16" s="374"/>
      <c r="AI16" s="374"/>
      <c r="AJ16" s="549"/>
      <c r="AK16" s="374"/>
      <c r="AL16" s="545"/>
      <c r="AM16" s="375">
        <f>IF(ISNUMBER(Datos!R16),Datos!R16," - ")</f>
        <v>846</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3675</v>
      </c>
      <c r="BD16" s="243">
        <f>IF(ISNUMBER(Datos!N16),Datos!N16," - ")</f>
        <v>25921</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0.984225697966156</v>
      </c>
      <c r="BH16" s="764">
        <f>IF(ISNUMBER(((IF(D_I="SI",Datos!L16/Datos!K16,(Datos!L16+Datos!AF16)/(Datos!K16+Datos!AE16)))*11)/factor_trimestre),((IF(D_I="SI",Datos!L16/Datos!K16,(Datos!L16+Datos!AF16)/(Datos!K16+Datos!AE16)))*11)/factor_trimestre," - ")</f>
        <v>1.4187389830508474</v>
      </c>
      <c r="BI16" s="266">
        <f>IF(ISNUMBER('Resol  Asuntos'!D16/NºAsuntos!G16),'Resol  Asuntos'!D16/NºAsuntos!G16," - ")</f>
        <v>9.9661016949152539E-2</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0</v>
      </c>
      <c r="B17" s="737" t="s">
        <v>511</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2</v>
      </c>
      <c r="B18" s="746" t="s">
        <v>511</v>
      </c>
      <c r="C18" s="747" t="str">
        <f>Datos!A18</f>
        <v>Jdos. Violencia contra la mujer</v>
      </c>
      <c r="D18" s="601"/>
      <c r="E18" s="1380">
        <f>IF(ISNUMBER(Datos!AQ18),Datos!AQ18," - ")</f>
        <v>2</v>
      </c>
      <c r="F18" s="552" t="str">
        <f>IF(ISNUMBER(AF18+AB18-I18-L18),AF18+AB18-I18-L18," - ")</f>
        <v xml:space="preserve"> - </v>
      </c>
      <c r="G18" s="543">
        <f>IF(ISNUMBER(IF(D_I="SI",Datos!I18,Datos!I18+Datos!AC18)),IF(D_I="SI",Datos!I18,Datos!I18+Datos!AC18)," - ")</f>
        <v>453</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208</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3112</v>
      </c>
      <c r="AC18" s="547">
        <f>IF(ISNUMBER(Datos!Q18),Datos!Q18," - ")</f>
        <v>265</v>
      </c>
      <c r="AD18" s="549"/>
      <c r="AE18" s="562"/>
      <c r="AF18" s="551">
        <f>IF(ISNUMBER(Datos!L18),Datos!L18,"-")</f>
        <v>372</v>
      </c>
      <c r="AG18" s="549"/>
      <c r="AH18" s="549"/>
      <c r="AI18" s="549"/>
      <c r="AJ18" s="549"/>
      <c r="AK18" s="549"/>
      <c r="AL18" s="550"/>
      <c r="AM18" s="766">
        <f>IF(ISNUMBER(Datos!R18),Datos!R18," - ")</f>
        <v>99</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541</v>
      </c>
      <c r="BD18" s="693">
        <f>IF(ISNUMBER(Datos!N18),Datos!N18," - ")</f>
        <v>2270</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0.99203060248645203</v>
      </c>
      <c r="BH18" s="764">
        <f>IF(ISNUMBER(((IF(D_I="SI",Datos!L18/Datos!K18,(Datos!L18+Datos!AF18)/(Datos!K18+Datos!AE18)))*11)/factor_trimestre),((IF(D_I="SI",Datos!L18/Datos!K18,(Datos!L18+Datos!AF18)/(Datos!K18+Datos!AE18)))*11)/factor_trimestre," - ")</f>
        <v>1.3149100257069408</v>
      </c>
      <c r="BI18" s="763">
        <f>IF(ISNUMBER('Resol  Asuntos'!D18/NºAsuntos!G18),'Resol  Asuntos'!D18/NºAsuntos!G18," - ")</f>
        <v>0.17384318766066839</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11</v>
      </c>
      <c r="F23" s="1197">
        <f>SUBTOTAL(9,F16:F22)</f>
        <v>4165</v>
      </c>
      <c r="G23" s="1197">
        <f>SUBTOTAL(9,G16:G22)</f>
        <v>4277</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1879</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39987</v>
      </c>
      <c r="AC23" s="1198">
        <f t="shared" si="5"/>
        <v>1838</v>
      </c>
      <c r="AD23" s="1198">
        <f t="shared" si="5"/>
        <v>0</v>
      </c>
      <c r="AE23" s="1198">
        <f t="shared" si="5"/>
        <v>0</v>
      </c>
      <c r="AF23" s="1198">
        <f t="shared" si="5"/>
        <v>5128</v>
      </c>
      <c r="AG23" s="1198">
        <f t="shared" si="5"/>
        <v>0</v>
      </c>
      <c r="AH23" s="1198">
        <f t="shared" si="5"/>
        <v>0</v>
      </c>
      <c r="AI23" s="1198">
        <f t="shared" si="5"/>
        <v>0</v>
      </c>
      <c r="AJ23" s="1198">
        <f t="shared" si="5"/>
        <v>0</v>
      </c>
      <c r="AK23" s="1198">
        <f t="shared" si="5"/>
        <v>0</v>
      </c>
      <c r="AL23" s="1198">
        <f t="shared" si="5"/>
        <v>0</v>
      </c>
      <c r="AM23" s="1198">
        <f t="shared" si="5"/>
        <v>945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4216</v>
      </c>
      <c r="BD23" s="1198">
        <f t="shared" si="5"/>
        <v>28191</v>
      </c>
      <c r="BE23" s="1198">
        <f t="shared" si="5"/>
        <v>0</v>
      </c>
      <c r="BF23" s="1198">
        <f t="shared" si="5"/>
        <v>0</v>
      </c>
      <c r="BG23" s="1198">
        <f>IF(ISNUMBER(Datos!K23/Datos!J23),Datos!K23/Datos!J23," - ")</f>
        <v>0.98482870723838145</v>
      </c>
      <c r="BH23" s="1202">
        <f>IF(ISNUMBER(((Datos!L23/Datos!K23)*11)/factor_trimestre),((Datos!L23/Datos!K23)*11)/factor_trimestre," - ")</f>
        <v>1.4106584640008002</v>
      </c>
      <c r="BI23" s="1198">
        <f>SUBTOTAL(9,BI16:BI22)</f>
        <v>0.27350420460982094</v>
      </c>
      <c r="BJ23" s="1198">
        <f>SUBTOTAL(9,BJ16:BJ22)</f>
        <v>0</v>
      </c>
      <c r="BK23" s="1198">
        <f>SUBTOTAL(9,BK16:BK22)</f>
        <v>0</v>
      </c>
      <c r="BL23" s="1198">
        <f>IF(ISNUMBER((I23-AB23+L23)/(F23)),(I23-AB23+L23)/(F23)," - ")</f>
        <v>-9.6007202881152462</v>
      </c>
      <c r="BM23" s="1205">
        <f>IF(ISNUMBER((Datos!P23-Datos!Q23)/(Datos!R23-Datos!P23+Datos!Q23)),(Datos!P23-Datos!Q23)/(Datos!R23-Datos!P23+Datos!Q23)," - ")</f>
        <v>4.5353982300884957E-2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32</v>
      </c>
      <c r="F31" s="1117">
        <f t="shared" si="18"/>
        <v>4374</v>
      </c>
      <c r="G31" s="1117">
        <f t="shared" si="18"/>
        <v>4486</v>
      </c>
      <c r="H31" s="1119">
        <f t="shared" si="18"/>
        <v>0</v>
      </c>
      <c r="I31" s="1117">
        <f t="shared" si="18"/>
        <v>0</v>
      </c>
      <c r="J31" s="1119">
        <f t="shared" si="18"/>
        <v>0</v>
      </c>
      <c r="K31" s="1119">
        <f t="shared" si="18"/>
        <v>0</v>
      </c>
      <c r="L31" s="1180">
        <f t="shared" si="18"/>
        <v>0</v>
      </c>
      <c r="M31" s="1180">
        <f t="shared" si="18"/>
        <v>0</v>
      </c>
      <c r="N31" s="1180">
        <f t="shared" si="18"/>
        <v>2941</v>
      </c>
      <c r="O31" s="1180">
        <f t="shared" si="18"/>
        <v>0</v>
      </c>
      <c r="P31" s="1180">
        <f t="shared" si="18"/>
        <v>0</v>
      </c>
      <c r="Q31" s="1119">
        <f t="shared" si="18"/>
        <v>8573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40367</v>
      </c>
      <c r="AC31" s="1118">
        <f t="shared" si="19"/>
        <v>12829</v>
      </c>
      <c r="AD31" s="1118">
        <f t="shared" si="19"/>
        <v>0</v>
      </c>
      <c r="AE31" s="1118">
        <f t="shared" si="19"/>
        <v>0</v>
      </c>
      <c r="AF31" s="1125">
        <f t="shared" si="19"/>
        <v>5396</v>
      </c>
      <c r="AG31" s="1125">
        <f t="shared" si="19"/>
        <v>0</v>
      </c>
      <c r="AH31" s="1125">
        <f t="shared" si="19"/>
        <v>422</v>
      </c>
      <c r="AI31" s="1125">
        <f t="shared" si="19"/>
        <v>0</v>
      </c>
      <c r="AJ31" s="1118">
        <f t="shared" si="19"/>
        <v>0</v>
      </c>
      <c r="AK31" s="1125">
        <f t="shared" si="19"/>
        <v>0</v>
      </c>
      <c r="AL31" s="1125">
        <f t="shared" si="19"/>
        <v>0</v>
      </c>
      <c r="AM31" s="1125">
        <f t="shared" si="19"/>
        <v>23516</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12274</v>
      </c>
      <c r="BD31" s="1117">
        <f t="shared" si="19"/>
        <v>40546</v>
      </c>
      <c r="BE31" s="1117">
        <f t="shared" si="19"/>
        <v>0</v>
      </c>
      <c r="BF31" s="1127">
        <f t="shared" si="19"/>
        <v>0</v>
      </c>
      <c r="BG31" s="1223">
        <f>IF(ISNUMBER(Datos!K31/Datos!J31),Datos!K31/Datos!J31," - ")</f>
        <v>1.0121029418316281</v>
      </c>
      <c r="BH31" s="1223">
        <f>IF(ISNUMBER(((Datos!L31/Datos!K31)*11)/factor_trimestre),((Datos!L31/Datos!K31)*11)/factor_trimestre," - ")</f>
        <v>2.9316547818176484</v>
      </c>
      <c r="BI31" s="1103">
        <f>IF(ISNUMBER(Datos!J31/Datos!I31),Datos!J31/Datos!I31," - ")</f>
        <v>3.8202189822431496</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-9.2288523090992225</v>
      </c>
      <c r="BM31" s="1188">
        <f>IF(ISNUMBER((Datos!P31-Datos!Q31+R31)/(Datos!R31-Datos!P31+Datos!Q31-R31)),(Datos!P31-Datos!Q31+R31)/(Datos!R31-Datos!P31+Datos!Q31-R31)," - ")</f>
        <v>-0.15324787555811609</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1281.7142857142858</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6.2379708801624254</v>
      </c>
      <c r="F33" s="673">
        <f>IF(ISNUMBER(STDEV(F8:F30)),STDEV(F8:F30),"-")</f>
        <v>2098.9153389310395</v>
      </c>
      <c r="G33" s="674">
        <f>IF(ISNUMBER(STDEV(G8:G30)),STDEV(G8:G30),"-")</f>
        <v>1902.1363177828689</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18428.055222559822</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3032.3743630656454</v>
      </c>
      <c r="BD33" s="673"/>
      <c r="BE33" s="673">
        <f>IF(ISNUMBER(STDEV(BE8:BE30)),STDEV(BE8:BE30),"-")</f>
        <v>0</v>
      </c>
      <c r="BF33" s="678">
        <f>IF(ISNUMBER(STDEV(BF8:BF30)),STDEV(BF8:BF30),"-")</f>
        <v>0</v>
      </c>
      <c r="BG33" s="1052">
        <f>IF(ISNUMBER(STDEV(BG8:BG30)),STDEV(BG8:BG30),"-")</f>
        <v>6.3947578828524615E-2</v>
      </c>
      <c r="BH33" s="1058">
        <f>IF(ISNUMBER(STDEV(BH8:BH30)),STDEV(BH8:BH30),"-")</f>
        <v>2.442780168357189</v>
      </c>
      <c r="BI33" s="273">
        <f>IF(ISNUMBER(STDEV(BI8:BI30)),STDEV(BI8:BI30),"-")</f>
        <v>8.0764709148930122E-2</v>
      </c>
      <c r="BJ33" s="244" t="str">
        <f>IF(ISNUMBER(BL33/BM33),BL33/BM33," - ")</f>
        <v xml:space="preserve"> - </v>
      </c>
      <c r="BK33" s="709"/>
      <c r="BL33" s="681">
        <f>IF(ISNUMBER(STDEV(BL8:BL30)),STDEV(BL8:BL30),"-")</f>
        <v>5.5030857269351046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rxCLbPHanqRJsZxy1W/oHdhXLi19mlOLMq2JfpgUHRo7A8dv1IiO4CbUXPDh3YTq7rQGhaq9ki830kM0PBXOgQ==" saltValue="XgCZNTR/g5WGQHLjSmCws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GRANADA  Resumenes por Partidos Judiciales  GRANADA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16</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6051</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10212</v>
      </c>
      <c r="AA9" s="551" t="str">
        <f>IF(ISNUMBER(IF(J_V="SI",Datos!L9,Datos!L9+Datos!AB9)-IF(Monitorios="SI",Datos!CD9,0)),
                          IF(J_V="SI",Datos!L9,Datos!L9+Datos!AB9)-IF(Monitorios="SI",Datos!CD9,0),
                          " - ")</f>
        <v xml:space="preserve"> - </v>
      </c>
      <c r="AB9" s="549"/>
      <c r="AC9" s="549"/>
      <c r="AD9" s="563"/>
      <c r="AE9" s="563">
        <f>IF(ISNUMBER(Datos!R9),Datos!R9," - ")</f>
        <v>21109</v>
      </c>
      <c r="AF9" s="693" t="str">
        <f>IF(ISNUMBER(Datos!BV9),Datos!BV9," - ")</f>
        <v xml:space="preserve"> - </v>
      </c>
      <c r="AG9" s="552" t="str">
        <f>IF(ISNUMBER(Datos!DV9),Datos!DV9," - ")</f>
        <v xml:space="preserve"> - </v>
      </c>
      <c r="AH9" s="553"/>
      <c r="AI9" s="554"/>
      <c r="AJ9" s="552">
        <f>IF(ISNUMBER(Datos!M9),Datos!M9," - ")</f>
        <v>6478</v>
      </c>
      <c r="AK9" s="693">
        <f>IF(ISNUMBER(Datos!N9),Datos!N9," - ")</f>
        <v>11259</v>
      </c>
      <c r="AL9" s="693" t="str">
        <f>IF(ISNUMBER(Datos!BW9),Datos!BW9," - ")</f>
        <v xml:space="preserve"> - </v>
      </c>
      <c r="AM9" s="762" t="str">
        <f>IF(ISNUMBER(Datos!BX9),Datos!BX9," - ")</f>
        <v xml:space="preserve"> - </v>
      </c>
      <c r="AN9" s="763"/>
      <c r="AO9" s="764">
        <f>IF(ISNUMBER(((NºAsuntos!I9/NºAsuntos!G9)*11)/factor_trimestre),((NºAsuntos!I9/NºAsuntos!G9)*11)/factor_trimestre," - ")</f>
        <v>4.7994785065005612</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-0.16466165413533834</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2</v>
      </c>
      <c r="B10" s="746" t="s">
        <v>321</v>
      </c>
      <c r="C10" s="747" t="str">
        <f>Datos!A10</f>
        <v>Jdos. Violencia contra la mujer</v>
      </c>
      <c r="D10" s="601"/>
      <c r="E10" s="1558">
        <f>IF(ISNUMBER(Datos!AQ10),Datos!AQ10," - ")</f>
        <v>2</v>
      </c>
      <c r="F10" s="552">
        <f>IF(ISNUMBER(Datos!L10+Datos!K10-Datos!J10),Datos!L10+Datos!K10-Datos!J10," - ")</f>
        <v>209</v>
      </c>
      <c r="G10" s="552">
        <f>IF(ISNUMBER(Datos!I10),Datos!I10," - ")</f>
        <v>209</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120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380</v>
      </c>
      <c r="Z10" s="805">
        <f>IF(ISNUMBER(Datos!Q10),Datos!Q10," - ")</f>
        <v>103</v>
      </c>
      <c r="AA10" s="551">
        <f>IF(ISNUMBER(Datos!L10),Datos!L10,"-")</f>
        <v>268</v>
      </c>
      <c r="AB10" s="549"/>
      <c r="AC10" s="549"/>
      <c r="AD10" s="563"/>
      <c r="AE10" s="563">
        <f>IF(ISNUMBER(Datos!R10),Datos!R10," - ")</f>
        <v>229</v>
      </c>
      <c r="AF10" s="693" t="str">
        <f>IF(ISNUMBER(Datos!BV10),Datos!BV10," - ")</f>
        <v xml:space="preserve"> - </v>
      </c>
      <c r="AG10" s="552" t="str">
        <f>IF(ISNUMBER(Datos!DV10),Datos!DV10," - ")</f>
        <v xml:space="preserve"> - </v>
      </c>
      <c r="AH10" s="553"/>
      <c r="AI10" s="554"/>
      <c r="AJ10" s="552">
        <f>IF(ISNUMBER(Datos!M10),Datos!M10," - ")</f>
        <v>157</v>
      </c>
      <c r="AK10" s="693">
        <f>IF(ISNUMBER(Datos!N10),Datos!N10," - ")</f>
        <v>168</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7.757894736842105</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8.0188679245283015E-2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3</v>
      </c>
      <c r="B11" s="746" t="s">
        <v>321</v>
      </c>
      <c r="C11" s="747" t="str">
        <f>Datos!A11</f>
        <v xml:space="preserve">Jdos. Familia                                   </v>
      </c>
      <c r="D11" s="601"/>
      <c r="E11" s="1558">
        <f>IF(ISNUMBER(Datos!AQ11),Datos!AQ11," - ")</f>
        <v>3</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523</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f>IF(ISNUMBER(Datos!Q11),Datos!Q11," - ")</f>
        <v>676</v>
      </c>
      <c r="AA11" s="551" t="str">
        <f>IF(ISNUMBER(IF(J_V="SI",Datos!L11,Datos!L11+Datos!AB11)-IF(Monitorios="SI",Datos!CD11,0)),
                          IF(J_V="SI",Datos!L11,Datos!L11+Datos!AB11)-IF(Monitorios="SI",Datos!CD11,0),
                          " - ")</f>
        <v xml:space="preserve"> - </v>
      </c>
      <c r="AB11" s="549"/>
      <c r="AC11" s="549"/>
      <c r="AD11" s="563"/>
      <c r="AE11" s="563">
        <f>IF(ISNUMBER(Datos!R11),Datos!R11," - ")</f>
        <v>1233</v>
      </c>
      <c r="AF11" s="693" t="str">
        <f>IF(ISNUMBER(Datos!BV11),Datos!BV11," - ")</f>
        <v xml:space="preserve"> - </v>
      </c>
      <c r="AG11" s="552" t="str">
        <f>IF(ISNUMBER(Datos!DV11),Datos!DV11," - ")</f>
        <v xml:space="preserve"> - </v>
      </c>
      <c r="AH11" s="553"/>
      <c r="AI11" s="554"/>
      <c r="AJ11" s="552">
        <f>IF(ISNUMBER(Datos!M11),Datos!M11," - ")</f>
        <v>1423</v>
      </c>
      <c r="AK11" s="693">
        <f>IF(ISNUMBER(Datos!N11),Datos!N11," - ")</f>
        <v>928</v>
      </c>
      <c r="AL11" s="693" t="str">
        <f>IF(ISNUMBER(Datos!BW11),Datos!BW11," - ")</f>
        <v xml:space="preserve"> - </v>
      </c>
      <c r="AM11" s="762" t="str">
        <f>IF(ISNUMBER(Datos!BX11),Datos!BX11," - ")</f>
        <v xml:space="preserve"> - </v>
      </c>
      <c r="AN11" s="763"/>
      <c r="AO11" s="764">
        <f>IF(ISNUMBER(((NºAsuntos!I11/NºAsuntos!G11)*11)/factor_trimestre),((NºAsuntos!I11/NºAsuntos!G11)*11)/factor_trimestre," - ")</f>
        <v>3.9503144654088049</v>
      </c>
      <c r="AP11" s="555" t="str">
        <f>IF(ISNUMBER(Datos!CI11/Datos!CJ11),Datos!CI11/Datos!CJ11," - ")</f>
        <v xml:space="preserve"> - </v>
      </c>
      <c r="AQ11" s="555" t="str">
        <f>IF(ISNUMBER((J11-Y11+K11)/(F11)),(J11-Y11+K11)/(F11)," - ")</f>
        <v xml:space="preserve"> - </v>
      </c>
      <c r="AR11" s="555">
        <f>IF(ISNUMBER((Datos!P11-Datos!Q11+Datos!DE11)/(Datos!R11-Datos!P11+Datos!Q11-Datos!DE11)),(Datos!P11-Datos!Q11+Datos!DE11)/(Datos!R11-Datos!P11+Datos!Q11-Datos!DE11)," - ")</f>
        <v>-0.11038961038961038</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0</v>
      </c>
      <c r="B12" s="746" t="s">
        <v>321</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t="str">
        <f>IF(ISNUMBER(Datos!Q12),Datos!Q12," - ")</f>
        <v xml:space="preserve"> - </v>
      </c>
      <c r="AA12" s="551" t="str">
        <f>IF(ISNUMBER(IF(J_V="SI",Datos!L12,Datos!L12+Datos!AB12)-IF(Monitorios="SI",Datos!CD12,0)),
                          IF(J_V="SI",Datos!L12,Datos!L12+Datos!AB12)-IF(Monitorios="SI",Datos!CD12,0),
                          " - ")</f>
        <v xml:space="preserve"> - </v>
      </c>
      <c r="AB12" s="549"/>
      <c r="AC12" s="549"/>
      <c r="AD12" s="563"/>
      <c r="AE12" s="563" t="str">
        <f>IF(ISNUMBER(Datos!R12),Datos!R12," - ")</f>
        <v xml:space="preserve"> - </v>
      </c>
      <c r="AF12" s="693" t="str">
        <f>IF(ISNUMBER(Datos!BV12),Datos!BV12," - ")</f>
        <v xml:space="preserve"> - </v>
      </c>
      <c r="AG12" s="552" t="str">
        <f>IF(ISNUMBER(Datos!DV12),Datos!DV12," - ")</f>
        <v xml:space="preserve"> - </v>
      </c>
      <c r="AH12" s="553"/>
      <c r="AI12" s="554"/>
      <c r="AJ12" s="552" t="str">
        <f>IF(ISNUMBER(Datos!M12),Datos!M12," - ")</f>
        <v xml:space="preserve"> - </v>
      </c>
      <c r="AK12" s="693" t="str">
        <f>IF(ISNUMBER(Datos!N12),Datos!N12," - ")</f>
        <v xml:space="preserve"> - </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21</v>
      </c>
      <c r="F14" s="1197">
        <f>SUBTOTAL(9,F8:F13)</f>
        <v>209</v>
      </c>
      <c r="G14" s="1197">
        <f>SUBTOTAL(9,G8:G13)</f>
        <v>209</v>
      </c>
      <c r="H14" s="1211"/>
      <c r="I14" s="1197">
        <f t="shared" ref="I14:N14" si="1">SUBTOTAL(9,I8:I13)</f>
        <v>0</v>
      </c>
      <c r="J14" s="1164">
        <f t="shared" si="1"/>
        <v>0</v>
      </c>
      <c r="K14" s="1211">
        <f t="shared" si="1"/>
        <v>0</v>
      </c>
      <c r="L14" s="1211">
        <f t="shared" si="1"/>
        <v>0</v>
      </c>
      <c r="M14" s="1211">
        <f t="shared" si="1"/>
        <v>0</v>
      </c>
      <c r="N14" s="1211">
        <f t="shared" si="1"/>
        <v>6694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380</v>
      </c>
      <c r="Z14" s="1210">
        <f t="shared" si="3"/>
        <v>10991</v>
      </c>
      <c r="AA14" s="1199">
        <f t="shared" si="3"/>
        <v>268</v>
      </c>
      <c r="AB14" s="1199">
        <f t="shared" si="3"/>
        <v>0</v>
      </c>
      <c r="AC14" s="1199">
        <f t="shared" si="3"/>
        <v>0</v>
      </c>
      <c r="AD14" s="1199">
        <f t="shared" si="3"/>
        <v>0</v>
      </c>
      <c r="AE14" s="1199">
        <f t="shared" si="3"/>
        <v>22571</v>
      </c>
      <c r="AF14" s="1211">
        <f t="shared" si="3"/>
        <v>0</v>
      </c>
      <c r="AG14" s="1211">
        <f t="shared" si="3"/>
        <v>0</v>
      </c>
      <c r="AH14" s="1211">
        <f t="shared" si="3"/>
        <v>0</v>
      </c>
      <c r="AI14" s="1211">
        <f t="shared" si="3"/>
        <v>0</v>
      </c>
      <c r="AJ14" s="1211">
        <f t="shared" si="3"/>
        <v>8058</v>
      </c>
      <c r="AK14" s="1211">
        <f t="shared" si="3"/>
        <v>12355</v>
      </c>
      <c r="AL14" s="1211">
        <f t="shared" si="3"/>
        <v>0</v>
      </c>
      <c r="AM14" s="1211">
        <f t="shared" si="3"/>
        <v>0</v>
      </c>
      <c r="AN14" s="1211">
        <f t="shared" si="3"/>
        <v>0</v>
      </c>
      <c r="AO14" s="1203">
        <f>IF(ISNUMBER(((NºAsuntos!I14/NºAsuntos!G14)*11)/factor_trimestre),((NºAsuntos!I14/NºAsuntos!G14)*11)/factor_trimestre," - ")</f>
        <v>4.7489173323068039</v>
      </c>
      <c r="AP14" s="1213" t="str">
        <f>IF(ISNUMBER(Datos!CI14/Datos!CJ14),Datos!CI14/Datos!CJ14," - ")</f>
        <v xml:space="preserve"> - </v>
      </c>
      <c r="AQ14" s="1236">
        <f t="shared" ref="AQ14:AV14" si="4">SUBTOTAL(9,AQ9:AQ13)</f>
        <v>0</v>
      </c>
      <c r="AR14" s="1236">
        <f t="shared" si="4"/>
        <v>-0.19486258527966571</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9</v>
      </c>
      <c r="B16" s="746" t="s">
        <v>511</v>
      </c>
      <c r="C16" s="765" t="str">
        <f>Datos!A16</f>
        <v xml:space="preserve">Jdos. Instrucción                               </v>
      </c>
      <c r="D16" s="593"/>
      <c r="E16" s="1558">
        <f>IF(ISNUMBER(Datos!AQ16),Datos!AQ16," - ")</f>
        <v>9</v>
      </c>
      <c r="F16" s="543">
        <f>IF(ISNUMBER(AA16+Y16-Datos!J16-K16),AA16+Y16-Datos!J16-K16," - ")</f>
        <v>4165</v>
      </c>
      <c r="G16" s="552">
        <f>IF(ISNUMBER(IF(D_I="SI",Datos!I16,Datos!I16+Datos!AC16)),IF(D_I="SI",Datos!I16,Datos!I16+Datos!AC16)," - ")</f>
        <v>3824</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1671</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36875</v>
      </c>
      <c r="Z16" s="805">
        <f>IF(ISNUMBER(Datos!Q16),Datos!Q16," - ")</f>
        <v>1573</v>
      </c>
      <c r="AA16" s="551">
        <f>IF(ISNUMBER(IF(D_I="SI",Datos!L16,Datos!L16+Datos!AF16)),IF(D_I="SI",Datos!L16,Datos!L16+Datos!AF16)," - ")</f>
        <v>4756</v>
      </c>
      <c r="AB16" s="549"/>
      <c r="AC16" s="549"/>
      <c r="AD16" s="563"/>
      <c r="AE16" s="563">
        <f>IF(ISNUMBER(Datos!R16),Datos!R16," - ")</f>
        <v>846</v>
      </c>
      <c r="AF16" s="693" t="str">
        <f>IF(ISNUMBER(Datos!BV16),Datos!BV16," - ")</f>
        <v xml:space="preserve"> - </v>
      </c>
      <c r="AG16" s="552"/>
      <c r="AH16" s="553"/>
      <c r="AI16" s="554"/>
      <c r="AJ16" s="552">
        <f>IF(ISNUMBER(Datos!M16),Datos!M16," - ")</f>
        <v>3675</v>
      </c>
      <c r="AK16" s="693">
        <f>IF(ISNUMBER(Datos!N16),Datos!N16," - ")</f>
        <v>25921</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1.4187389830508474</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0</v>
      </c>
      <c r="B17" s="746" t="s">
        <v>511</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2</v>
      </c>
      <c r="B18" s="746" t="s">
        <v>511</v>
      </c>
      <c r="C18" s="747" t="str">
        <f>Datos!A18</f>
        <v>Jdos. Violencia contra la mujer</v>
      </c>
      <c r="D18" s="601"/>
      <c r="E18" s="1558">
        <f>IF(ISNUMBER(Datos!AQ18),Datos!AQ18," - ")</f>
        <v>2</v>
      </c>
      <c r="F18" s="552" t="str">
        <f>IF(ISNUMBER(AA18+Y18-I18-K18),AA18+Y18-I18-K18," - ")</f>
        <v xml:space="preserve"> - </v>
      </c>
      <c r="G18" s="843">
        <f>IF(ISNUMBER(IF(D_I="SI",Datos!I18,Datos!I18+Datos!AC18)),IF(D_I="SI",Datos!I18,Datos!I18+Datos!AC18)," - ")</f>
        <v>453</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208</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3112</v>
      </c>
      <c r="Z18" s="805">
        <f>IF(ISNUMBER(Datos!Q18),Datos!Q18," - ")</f>
        <v>265</v>
      </c>
      <c r="AA18" s="551">
        <f>IF(ISNUMBER(Datos!L18),Datos!L18,"-")</f>
        <v>372</v>
      </c>
      <c r="AB18" s="549"/>
      <c r="AC18" s="549"/>
      <c r="AD18" s="563"/>
      <c r="AE18" s="563">
        <f>IF(ISNUMBER(Datos!R18),Datos!R18," - ")</f>
        <v>99</v>
      </c>
      <c r="AF18" s="693" t="str">
        <f>IF(ISNUMBER(Datos!BV18),Datos!BV18," - ")</f>
        <v xml:space="preserve"> - </v>
      </c>
      <c r="AG18" s="552" t="str">
        <f>IF(ISNUMBER(Datos!DV18),Datos!DV18," - ")</f>
        <v xml:space="preserve"> - </v>
      </c>
      <c r="AH18" s="553"/>
      <c r="AI18" s="554"/>
      <c r="AJ18" s="552">
        <f>IF(ISNUMBER(Datos!M18),Datos!M18," - ")</f>
        <v>541</v>
      </c>
      <c r="AK18" s="693">
        <f>IF(ISNUMBER(Datos!N18),Datos!N18," - ")</f>
        <v>2270</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1.3149100257069408</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11</v>
      </c>
      <c r="F23" s="1197">
        <f>SUBTOTAL(9,F16:F22)</f>
        <v>4165</v>
      </c>
      <c r="G23" s="1197">
        <f>SUBTOTAL(9,G16:G22)</f>
        <v>4277</v>
      </c>
      <c r="H23" s="1240">
        <f>SUBTOTAL(9,H16:H22)</f>
        <v>0</v>
      </c>
      <c r="I23" s="1217">
        <f>SUBTOTAL(9,I16:I22)</f>
        <v>0</v>
      </c>
      <c r="J23" s="1164">
        <f>SUBTOTAL(9,J15:J22)</f>
        <v>0</v>
      </c>
      <c r="K23" s="1240">
        <f t="shared" ref="K23:S23" si="5">SUBTOTAL(9,K16:K22)</f>
        <v>0</v>
      </c>
      <c r="L23" s="1240">
        <f t="shared" si="5"/>
        <v>0</v>
      </c>
      <c r="M23" s="1240">
        <f t="shared" si="5"/>
        <v>0</v>
      </c>
      <c r="N23" s="1240">
        <f t="shared" si="5"/>
        <v>1879</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39987</v>
      </c>
      <c r="Z23" s="1240">
        <f t="shared" si="6"/>
        <v>1838</v>
      </c>
      <c r="AA23" s="1240">
        <f t="shared" si="6"/>
        <v>5128</v>
      </c>
      <c r="AB23" s="1240">
        <f t="shared" si="6"/>
        <v>0</v>
      </c>
      <c r="AC23" s="1240">
        <f t="shared" si="6"/>
        <v>0</v>
      </c>
      <c r="AD23" s="1240">
        <f t="shared" si="6"/>
        <v>0</v>
      </c>
      <c r="AE23" s="1240">
        <f t="shared" si="6"/>
        <v>945</v>
      </c>
      <c r="AF23" s="1240">
        <f t="shared" si="6"/>
        <v>0</v>
      </c>
      <c r="AG23" s="1240">
        <f t="shared" si="6"/>
        <v>0</v>
      </c>
      <c r="AH23" s="1240">
        <f t="shared" si="6"/>
        <v>0</v>
      </c>
      <c r="AI23" s="1240">
        <f t="shared" si="6"/>
        <v>0</v>
      </c>
      <c r="AJ23" s="1240">
        <f t="shared" si="6"/>
        <v>4216</v>
      </c>
      <c r="AK23" s="1240">
        <f t="shared" si="6"/>
        <v>28191</v>
      </c>
      <c r="AL23" s="1240">
        <f t="shared" si="6"/>
        <v>0</v>
      </c>
      <c r="AM23" s="1240">
        <f t="shared" si="6"/>
        <v>0</v>
      </c>
      <c r="AN23" s="1240">
        <f t="shared" si="6"/>
        <v>0</v>
      </c>
      <c r="AO23" s="1242">
        <f>IF(ISNUMBER(((NºAsuntos!I23/NºAsuntos!G23)*11)/factor_trimestre),((NºAsuntos!I23/NºAsuntos!G23)*11)/factor_trimestre," - ")</f>
        <v>1.4106584640008002</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32</v>
      </c>
      <c r="F31" s="1117">
        <f t="shared" si="12"/>
        <v>4374</v>
      </c>
      <c r="G31" s="1117">
        <f t="shared" si="12"/>
        <v>4486</v>
      </c>
      <c r="H31" s="1118">
        <f t="shared" si="12"/>
        <v>0</v>
      </c>
      <c r="I31" s="1117">
        <f t="shared" si="12"/>
        <v>0</v>
      </c>
      <c r="J31" s="1119">
        <f t="shared" si="12"/>
        <v>0</v>
      </c>
      <c r="K31" s="1117">
        <f t="shared" si="12"/>
        <v>0</v>
      </c>
      <c r="L31" s="1120">
        <f t="shared" si="12"/>
        <v>0</v>
      </c>
      <c r="M31" s="1117">
        <f t="shared" si="12"/>
        <v>0</v>
      </c>
      <c r="N31" s="1118">
        <f t="shared" si="12"/>
        <v>8573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40367</v>
      </c>
      <c r="Z31" s="1124">
        <f t="shared" si="13"/>
        <v>12829</v>
      </c>
      <c r="AA31" s="1125">
        <f t="shared" si="13"/>
        <v>5396</v>
      </c>
      <c r="AB31" s="1125">
        <f t="shared" si="13"/>
        <v>0</v>
      </c>
      <c r="AC31" s="1125">
        <f t="shared" si="13"/>
        <v>0</v>
      </c>
      <c r="AD31" s="1126">
        <f t="shared" si="13"/>
        <v>0</v>
      </c>
      <c r="AE31" s="1126">
        <f t="shared" si="13"/>
        <v>23516</v>
      </c>
      <c r="AF31" s="1127">
        <f t="shared" si="13"/>
        <v>0</v>
      </c>
      <c r="AG31" s="1128">
        <f t="shared" si="13"/>
        <v>0</v>
      </c>
      <c r="AH31" s="1129">
        <f t="shared" si="13"/>
        <v>0</v>
      </c>
      <c r="AI31" s="1127">
        <f t="shared" si="13"/>
        <v>0</v>
      </c>
      <c r="AJ31" s="1117">
        <f t="shared" si="13"/>
        <v>12274</v>
      </c>
      <c r="AK31" s="1117">
        <f t="shared" si="13"/>
        <v>40546</v>
      </c>
      <c r="AL31" s="1117">
        <f t="shared" si="13"/>
        <v>0</v>
      </c>
      <c r="AM31" s="1130">
        <f t="shared" si="13"/>
        <v>0</v>
      </c>
      <c r="AN31" s="1120">
        <f>IF(ISNUMBER(Datos!K31/Datos!J31),Datos!K31/Datos!J31," - ")</f>
        <v>1.0121029418316281</v>
      </c>
      <c r="AO31" s="1120">
        <f>IF(ISNUMBER(FIND("06",Criterios!A8,1)),(IF(ISNUMBER(((Datos!R31/Datos!Q31)*11)/factor_trimestre),((Datos!R31/Datos!Q31)*11)/factor_trimestre," - ")),(IF(ISNUMBER(((Datos!L31/Datos!K31)*11)/factor_trimestre),((Datos!L31/Datos!K31)*11)/factor_trimestre," - ")))</f>
        <v>2.9316547818176484</v>
      </c>
      <c r="AP31" s="1131" t="str">
        <f>IF(ISNUMBER(Datos!CI31/Datos!CJ31),Datos!CI31/Datos!CJ31," - ")</f>
        <v xml:space="preserve"> - </v>
      </c>
      <c r="AQ31" s="1131">
        <f>IF(OR(ISNUMBER(FIND("01",Criterios!A8,1)),ISNUMBER(FIND("02",Criterios!A8,1)),ISNUMBER(FIND("03",Criterios!A8,1)),ISNUMBER(FIND("04",Criterios!A8,1))),(J31-Y31+K31)/(F31-K31),(I31-Y31+K31)/(F31-K31))</f>
        <v>-9.2288523090992225</v>
      </c>
      <c r="AR31" s="1131">
        <f>IF(ISNUMBER((Datos!P31-Datos!Q31+O31)/(Datos!R31-Datos!P31+Datos!Q31-O31)),(Datos!P31-Datos!Q31+O31)/(Datos!R31-Datos!P31+Datos!Q31-O31)," - ")</f>
        <v>-0.15324787555811609</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1281.7142857142858</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2098.9153389310395</v>
      </c>
      <c r="G33" s="674">
        <f>IF(ISNUMBER(STDEV(G8:G30)),STDEV(G8:G30),"-")</f>
        <v>1902.1363177828689</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3032.3743630656454</v>
      </c>
      <c r="AK33" s="276"/>
      <c r="AL33" s="276">
        <f>IF(ISNUMBER(STDEV(AL8:AL30)),STDEV(AL8:AL30),"-")</f>
        <v>0</v>
      </c>
      <c r="AM33" s="278">
        <f>IF(ISNUMBER(STDEV(AM8:AM30)),STDEV(AM8:AM30),"-")</f>
        <v>0</v>
      </c>
      <c r="AN33" s="660">
        <f>IF(ISNUMBER(STDEV(AN8:AN30)),STDEV(AN8:AN30),"-")</f>
        <v>0</v>
      </c>
      <c r="AO33" s="661">
        <f>IF(ISNUMBER(STDEV(AO8:AO30)),STDEV(AO8:AO30),"-")</f>
        <v>2.4130393773198948</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TNTKu+37nAST1PFiu0+V5vfbT0NjnD66coR+bBrtgMIMaXK8RmEDKVPwwY3Z8Mju5LJ/s9HXch8ONJDTwR3fXA==" saltValue="2ga5eUeHRlVfTDOsU0ACt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o+qgav6atRRixDUv4fuLqoHKBV9w3Lq6zaP4nvcCW1NxBuzF7/8gTGcscCskkmSti791ddw0YcpEeewgQAF7Sg==" saltValue="dOB50tNUazoAxfrzfVZ03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GRANADA</v>
      </c>
      <c r="CE4" s="1828" t="s">
        <v>350</v>
      </c>
      <c r="CF4" s="1829"/>
      <c r="CG4" s="1829"/>
      <c r="CH4" s="1830"/>
    </row>
    <row r="5" spans="1:155" ht="12.75" customHeight="1" thickBot="1">
      <c r="A5" s="1798" t="str">
        <f>"Año:  " &amp;Criterios!B5 &amp; "                  Trimestre   " &amp;Criterios!D5 &amp; " al " &amp;Criterios!D6</f>
        <v>Año:  2022                  Trimestre   1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pUNVdVAv5PFuZsjHJc+iSQP5E3W+SHDgtk4a71fJD7yBi0BtzbTmS1+cd0NcSxDIwTyPSQxy/ocC7z1q2p8sQ==" saltValue="xjbLgzDrcPJt5WYyktuVn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GRANADA  Resumenes por Partidos Judiciales  GRANADA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0.25849292657107115</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0.18278210126716071</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pQ7G8+8cILXyq6RDcN4gTq69h3hjJBcFjVcsE4Ua+C71n6LSty6wzMI84k7eKXg5ToZS0I3uXTs9TRfxWdNupQ==" saltValue="85UZf4suNFYbdYiaivej3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8ST1adKF2ceW5X1iDnFYLT4XLZfZam4aJ9HZGFr9qwUNzfApuJ3JuTxQ8WDCwetjNJX7v4NsSPCnapzD2eMNyA==" saltValue="+8o85bZ8sAmKBP3+sC3ko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GRANADA</v>
      </c>
      <c r="D3" s="436"/>
      <c r="E3" s="436"/>
      <c r="F3" s="436"/>
    </row>
    <row r="4" spans="1:14" ht="13.5" thickBot="1">
      <c r="A4" s="436"/>
      <c r="B4" s="439" t="str">
        <f>Criterios!A11 &amp;"  "&amp;Criterios!B11</f>
        <v>Resumenes por Partidos Judiciales  GRANADA</v>
      </c>
      <c r="C4" s="436"/>
      <c r="D4" s="436"/>
      <c r="E4" s="436"/>
      <c r="F4" s="436"/>
    </row>
    <row r="5" spans="1:14" ht="15.75" customHeight="1">
      <c r="A5" s="1579" t="str">
        <f>"Año:  " &amp;Criterios!B5 &amp; "     Trimestre   " &amp;Criterios!D5 &amp; " al " &amp;Criterios!D6</f>
        <v>Año:  2022     Trimestre   1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16</v>
      </c>
      <c r="C9" s="451">
        <f>IF(ISNUMBER(IF(J_V="SI",Datos!I9,Datos!I9+Datos!Y9)),IF(J_V="SI",Datos!I9,Datos!I9+Datos!Y9)," - ")</f>
        <v>12479</v>
      </c>
      <c r="D9" s="452">
        <f>IF(ISNUMBER(C9/Datos!BH9),C9/Datos!BH9," - ")</f>
        <v>779.9375</v>
      </c>
      <c r="E9" s="451">
        <f>IF(ISNUMBER(IF(J_V="SI",Datos!J9,Datos!J9+Datos!Z9)),IF(J_V="SI",Datos!J9,Datos!J9+Datos!Z9)," - ")</f>
        <v>26074</v>
      </c>
      <c r="F9" s="452">
        <f>IF(ISNUMBER(E9/B9),E9/B9," - ")</f>
        <v>1629.625</v>
      </c>
      <c r="G9" s="451">
        <f>IF(ISNUMBER(IF(J_V="SI",Datos!K9,Datos!K9+Datos!AA9)),IF(J_V="SI",Datos!K9,Datos!K9+Datos!AA9)," - ")</f>
        <v>27613</v>
      </c>
      <c r="H9" s="452">
        <f>IF(ISNUMBER(G9/B9),G9/B9," - ")</f>
        <v>1725.8125</v>
      </c>
      <c r="I9" s="451">
        <f>IF(ISNUMBER(IF(J_V="SI",Datos!L9,Datos!L9+Datos!AB9)),IF(J_V="SI",Datos!L9,Datos!L9+Datos!AB9)," - ")</f>
        <v>12048</v>
      </c>
      <c r="J9" s="452">
        <f>IF(ISNUMBER(I9/B9),I9/B9," - ")</f>
        <v>753</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2</v>
      </c>
      <c r="C10" s="451">
        <f>IF(ISNUMBER(Datos!I10),Datos!I10," - ")</f>
        <v>209</v>
      </c>
      <c r="D10" s="452">
        <f>IF(ISNUMBER(C10/Datos!BH10),C10/Datos!BH10," - ")</f>
        <v>104.5</v>
      </c>
      <c r="E10" s="451">
        <f>IF(ISNUMBER(Datos!J10),Datos!J10," - ")</f>
        <v>439</v>
      </c>
      <c r="F10" s="452">
        <f>IF(ISNUMBER(E10/B10),E10/B10," - ")</f>
        <v>219.5</v>
      </c>
      <c r="G10" s="451">
        <f>IF(ISNUMBER(Datos!K10),Datos!K10," - ")</f>
        <v>380</v>
      </c>
      <c r="H10" s="452">
        <f>IF(ISNUMBER(G10/B10),G10/B10," - ")</f>
        <v>190</v>
      </c>
      <c r="I10" s="451">
        <f>IF(ISNUMBER(Datos!L10),Datos!L10," - ")</f>
        <v>268</v>
      </c>
      <c r="J10" s="452">
        <f>IF(ISNUMBER(I10/B10),I10/B10," - ")</f>
        <v>134</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3</v>
      </c>
      <c r="C11" s="451">
        <f>IF(ISNUMBER(IF(J_V="SI",Datos!I11,Datos!I11+Datos!Y11)),IF(J_V="SI",Datos!I11,Datos!I11+Datos!Y11)," - ")</f>
        <v>1159</v>
      </c>
      <c r="D11" s="452">
        <f>IF(ISNUMBER(C11/Datos!BH11),C11/Datos!BH11," - ")</f>
        <v>386.33333333333331</v>
      </c>
      <c r="E11" s="451">
        <f>IF(ISNUMBER(IF(J_V="SI",Datos!J11,Datos!J11+Datos!Z11)),IF(J_V="SI",Datos!J11,Datos!J11+Datos!Z11)," - ")</f>
        <v>3164</v>
      </c>
      <c r="F11" s="452">
        <f>IF(ISNUMBER(E11/B11),E11/B11," - ")</f>
        <v>1054.6666666666667</v>
      </c>
      <c r="G11" s="451">
        <f>IF(ISNUMBER(IF(J_V="SI",Datos!K11,Datos!K11+Datos!AA11)),IF(J_V="SI",Datos!K11,Datos!K11+Datos!AA11)," - ")</f>
        <v>3180</v>
      </c>
      <c r="H11" s="452">
        <f>IF(ISNUMBER(G11/B11),G11/B11," - ")</f>
        <v>1060</v>
      </c>
      <c r="I11" s="451">
        <f>IF(ISNUMBER(IF(J_V="SI",Datos!L11,Datos!L11+Datos!AB11)),IF(J_V="SI",Datos!L11,Datos!L11+Datos!AB11)," - ")</f>
        <v>1142</v>
      </c>
      <c r="J11" s="452">
        <f>IF(ISNUMBER(I11/B11),I11/B11," - ")</f>
        <v>380.66666666666669</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t="str">
        <f>IF(ISNUMBER(IF(J_V="SI",Datos!I12,Datos!I12+Datos!Y12)),IF(J_V="SI",Datos!I12,Datos!I12+Datos!Y12)," - ")</f>
        <v xml:space="preserve"> - </v>
      </c>
      <c r="D12" s="452" t="str">
        <f>IF(ISNUMBER(C12/Datos!BH12),C12/Datos!BH12," - ")</f>
        <v xml:space="preserve"> - </v>
      </c>
      <c r="E12" s="451" t="str">
        <f>IF(ISNUMBER(IF(J_V="SI",Datos!J12,Datos!J12+Datos!Z12)),IF(J_V="SI",Datos!J12,Datos!J12+Datos!Z12)," - ")</f>
        <v xml:space="preserve"> - </v>
      </c>
      <c r="F12" s="452" t="str">
        <f>IF(ISNUMBER(E12/B12),E12/B12," - ")</f>
        <v xml:space="preserve"> - </v>
      </c>
      <c r="G12" s="451" t="str">
        <f>IF(ISNUMBER(IF(J_V="SI",Datos!K12,Datos!K12+Datos!AA12)),IF(J_V="SI",Datos!K12,Datos!K12+Datos!AA12)," - ")</f>
        <v xml:space="preserve"> - </v>
      </c>
      <c r="H12" s="452" t="str">
        <f>IF(ISNUMBER(G12/B12),G12/B12," - ")</f>
        <v xml:space="preserve"> - </v>
      </c>
      <c r="I12" s="451" t="str">
        <f>IF(ISNUMBER(IF(J_V="SI",Datos!L12,Datos!L12+Datos!AB12)),IF(J_V="SI",Datos!L12,Datos!L12+Datos!AB12)," - ")</f>
        <v xml:space="preserve"> - </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21</v>
      </c>
      <c r="C14" s="1146">
        <f>SUBTOTAL(9,C8:C13)</f>
        <v>13847</v>
      </c>
      <c r="D14" s="1147" t="str">
        <f>IF(ISNUMBER(C14/Datos!BI14),C14/Datos!BI14," - ")</f>
        <v xml:space="preserve"> - </v>
      </c>
      <c r="E14" s="1146">
        <f>SUBTOTAL(9,E8:E13)</f>
        <v>29677</v>
      </c>
      <c r="F14" s="1147">
        <f>IF(ISNUMBER(E14/B14),E14/B14," - ")</f>
        <v>1413.1904761904761</v>
      </c>
      <c r="G14" s="1146">
        <f>SUBTOTAL(9,G8:G13)</f>
        <v>31173</v>
      </c>
      <c r="H14" s="1147">
        <f>IF(ISNUMBER(G14/B14),G14/B14," - ")</f>
        <v>1484.4285714285713</v>
      </c>
      <c r="I14" s="1146">
        <f>SUBTOTAL(9,I8:I13)</f>
        <v>13458</v>
      </c>
      <c r="J14" s="1147">
        <f>IF(ISNUMBER(I14/B14),I14/B14," - ")</f>
        <v>640.85714285714289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9</v>
      </c>
      <c r="C16" s="451">
        <f>IF(ISNUMBER(IF(D_I="SI",Datos!I16,Datos!I16+Datos!AC16)),IF(D_I="SI",Datos!I16,Datos!I16+Datos!AC16)," - ")</f>
        <v>3824</v>
      </c>
      <c r="D16" s="452">
        <f>IF(ISNUMBER(C16/Datos!BH16),C16/Datos!BH16," - ")</f>
        <v>424.88888888888891</v>
      </c>
      <c r="E16" s="451">
        <f>IF(ISNUMBER(IF(D_I="SI",Datos!J16,Datos!J16+Datos!AD16)),IF(D_I="SI",Datos!J16,Datos!J16+Datos!AD16)," - ")</f>
        <v>37466</v>
      </c>
      <c r="F16" s="452">
        <f>IF(ISNUMBER(E16/B16),E16/B16," - ")</f>
        <v>4162.8888888888887</v>
      </c>
      <c r="G16" s="451">
        <f>IF(ISNUMBER(IF(D_I="SI",Datos!K16,Datos!K16+Datos!AE16)),IF(D_I="SI",Datos!K16,Datos!K16+Datos!AE16)," - ")</f>
        <v>36875</v>
      </c>
      <c r="H16" s="452">
        <f>IF(ISNUMBER(G16/B16),G16/B16," - ")</f>
        <v>4097.2222222222226</v>
      </c>
      <c r="I16" s="451">
        <f>IF(ISNUMBER(IF(D_I="SI",Datos!L16,Datos!L16+Datos!AF16)),IF(D_I="SI",Datos!L16,Datos!L16+Datos!AF16)," - ")</f>
        <v>4756</v>
      </c>
      <c r="J16" s="452">
        <f>IF(ISNUMBER(I16/B16),I16/B16," - ")</f>
        <v>528.44444444444446</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2</v>
      </c>
      <c r="C18" s="451">
        <f>IF(ISNUMBER(IF(D_I="SI",Datos!I18,Datos!I18+Datos!AC18)),IF(D_I="SI",Datos!I18,Datos!I18+Datos!AC18)," - ")</f>
        <v>453</v>
      </c>
      <c r="D18" s="452">
        <f>IF(ISNUMBER(C18/Datos!BH18),C18/Datos!BH18," - ")</f>
        <v>226.5</v>
      </c>
      <c r="E18" s="451">
        <f>IF(ISNUMBER(IF(D_I="SI",Datos!J18,Datos!J18+Datos!AD18)),IF(D_I="SI",Datos!J18,Datos!J18+Datos!AD18)," - ")</f>
        <v>3137</v>
      </c>
      <c r="F18" s="452">
        <f>IF(ISNUMBER(E18/B18),E18/B18," - ")</f>
        <v>1568.5</v>
      </c>
      <c r="G18" s="451">
        <f>IF(ISNUMBER(IF(D_I="SI",Datos!K18,Datos!K18+Datos!AE18)),IF(D_I="SI",Datos!K18,Datos!K18+Datos!AE18)," - ")</f>
        <v>3112</v>
      </c>
      <c r="H18" s="452">
        <f>IF(ISNUMBER(G18/B18),G18/B18," - ")</f>
        <v>1556</v>
      </c>
      <c r="I18" s="451">
        <f>IF(ISNUMBER(IF(D_I="SI",Datos!L18,Datos!L18+Datos!AF18)),IF(D_I="SI",Datos!L18,Datos!L18+Datos!AF18)," - ")</f>
        <v>372</v>
      </c>
      <c r="J18" s="452">
        <f>IF(ISNUMBER(I18/B18),I18/B18," - ")</f>
        <v>186</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11</v>
      </c>
      <c r="C23" s="1146">
        <f>SUBTOTAL(9,C15:C22)</f>
        <v>4277</v>
      </c>
      <c r="D23" s="1147" t="str">
        <f>IF(ISNUMBER(C23/Datos!BI23),C23/Datos!BI23," - ")</f>
        <v xml:space="preserve"> - </v>
      </c>
      <c r="E23" s="1146">
        <f>SUBTOTAL(9,E15:E22)</f>
        <v>40603</v>
      </c>
      <c r="F23" s="1147">
        <f>IF(ISNUMBER(E23/B23),E23/B23," - ")</f>
        <v>3691.181818181818</v>
      </c>
      <c r="G23" s="1146">
        <f>SUBTOTAL(9,G15:G22)</f>
        <v>39987</v>
      </c>
      <c r="H23" s="1147">
        <f>IF(ISNUMBER(G23/B23),G23/B23," - ")</f>
        <v>3635.181818181818</v>
      </c>
      <c r="I23" s="1146">
        <f>SUBTOTAL(9,I15:I22)</f>
        <v>5128</v>
      </c>
      <c r="J23" s="1147">
        <f>IF(ISNUMBER(I23/B23),I23/B23," - ")</f>
        <v>466.18181818181819</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30</v>
      </c>
      <c r="C31" s="1084">
        <f>SUBTOTAL(9,C9:C30)</f>
        <v>18124</v>
      </c>
      <c r="D31" s="1085" t="str">
        <f>IF(ISNUMBER(C31/Datos!BI31),C31/Datos!BI31," - ")</f>
        <v xml:space="preserve"> - </v>
      </c>
      <c r="E31" s="1084">
        <f>SUBTOTAL(9,E9:E30)</f>
        <v>70280</v>
      </c>
      <c r="F31" s="1085">
        <f>IF(ISNUMBER(E31/B31),E31/B31," - ")</f>
        <v>2342.6666666666665</v>
      </c>
      <c r="G31" s="1084">
        <f>SUBTOTAL(9,G9:G30)</f>
        <v>71160</v>
      </c>
      <c r="H31" s="1085">
        <f>IF(ISNUMBER(G31/B31),G31/B31," - ")</f>
        <v>2372</v>
      </c>
      <c r="I31" s="1084">
        <f>SUBTOTAL(9,I9:I30)</f>
        <v>18586</v>
      </c>
      <c r="J31" s="1085">
        <f>IF(ISNUMBER(I31/B31),I31/B31," - ")</f>
        <v>619.5333333333333</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ziOaWfF5e6E3EVt6R/IMeysgQCvjZeiwt6PhyqBXEXjonl5darb5tjb64iOw2ee8T/vRcE/gL+OAQFaOLFk2Ig==" saltValue="8RGpMwVOEHu8kyK/Q89YG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GRANADA  Resumenes por Partidos Judiciales  GRANADA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16</v>
      </c>
      <c r="B9" s="745" t="s">
        <v>321</v>
      </c>
      <c r="C9" s="765" t="str">
        <f>Datos!A9</f>
        <v xml:space="preserve">Jdos. 1ª Instancia   </v>
      </c>
      <c r="D9" s="593"/>
      <c r="E9" s="904">
        <f>IF(ISNUMBER(Datos!AQ9),Datos!AQ9," - ")</f>
        <v>16</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2</v>
      </c>
      <c r="B10" s="746" t="s">
        <v>321</v>
      </c>
      <c r="C10" s="747" t="str">
        <f>Datos!A10</f>
        <v>Jdos. Violencia contra la mujer</v>
      </c>
      <c r="D10" s="601"/>
      <c r="E10" s="904">
        <f>IF(ISNUMBER(Datos!AQ10),Datos!AQ10," - ")</f>
        <v>2</v>
      </c>
      <c r="F10" s="905">
        <f>IF(ISNUMBER(Datos!L10+Datos!K10-Datos!J10),Datos!L10+Datos!K10-Datos!J10," - ")</f>
        <v>209</v>
      </c>
      <c r="G10" s="906">
        <f>IF(ISNUMBER(Datos!I10),Datos!I10," - ")</f>
        <v>209</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120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380</v>
      </c>
      <c r="AC10" s="905" t="str">
        <f>IF(ISNUMBER(IF(D_I="SI",DatosP!K18,DatosP!K18+DatosP!AE18)),IF(D_I="SI",DatosP!K18,DatosP!K18+DatosP!AE18)," - ")</f>
        <v xml:space="preserve"> - </v>
      </c>
      <c r="AD10" s="907"/>
      <c r="AE10" s="907"/>
      <c r="AF10" s="910">
        <f>IF(ISNUMBER(Datos!L10),Datos!L10,"-")</f>
        <v>268</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157</v>
      </c>
      <c r="AM10" s="914">
        <f>IF(ISNUMBER(Datos!N10+DatosP!N18),Datos!N10+DatosP!N18," - ")</f>
        <v>168</v>
      </c>
      <c r="AN10" s="914">
        <f>IF(ISNUMBER(Datos!BW10+DatosP!BW18),Datos!BW10+DatosP!BW18," - ")</f>
        <v>0</v>
      </c>
      <c r="AO10" s="915">
        <f>IF(ISNUMBER(Datos!BX10+DatosP!BX18),Datos!BX10+DatosP!BX18," - ")</f>
        <v>0</v>
      </c>
      <c r="AP10" s="917">
        <f>IF(ISNUMBER(((Datos!L10/Datos!K10)*11)/factor_trimestre),((Datos!L10/Datos!K10)*11)/factor_trimestre," - ")</f>
        <v>7.757894736842105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3</v>
      </c>
      <c r="B11" s="746" t="s">
        <v>321</v>
      </c>
      <c r="C11" s="747" t="str">
        <f>Datos!A11</f>
        <v xml:space="preserve">Jdos. Familia                                   </v>
      </c>
      <c r="D11" s="601"/>
      <c r="E11" s="904">
        <f>IF(ISNUMBER(Datos!AQ11),Datos!AQ11," - ")</f>
        <v>3</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321</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t="str">
        <f>IF(ISNUMBER(Datos!Q12),Datos!Q12," - ")</f>
        <v xml:space="preserve"> - </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t="str">
        <f>IF(ISNUMBER(Datos!R12),Datos!R12," - ")</f>
        <v xml:space="preserve"> - </v>
      </c>
      <c r="AI12" s="911" t="str">
        <f>IF(ISNUMBER(DatosP!R17),DatosP!R17," - ")</f>
        <v xml:space="preserve"> - </v>
      </c>
      <c r="AJ12" s="904">
        <f>IF(ISNUMBER(Datos!BV12+DatosP!BV17),Datos!BV12+DatosP!BV17," - ")</f>
        <v>0</v>
      </c>
      <c r="AK12" s="912" t="str">
        <f>IF(ISNUMBER(Datos!DV12),Datos!DV12," - ")</f>
        <v xml:space="preserve"> - </v>
      </c>
      <c r="AL12" s="905" t="str">
        <f>IF(ISNUMBER(Datos!M12+DatosP!M17),Datos!M12+DatosP!M17," - ")</f>
        <v xml:space="preserve"> - </v>
      </c>
      <c r="AM12" s="914" t="str">
        <f>IF(ISNUMBER(Datos!N12+DatosP!N17),Datos!N12+DatosP!N17," - ")</f>
        <v xml:space="preserve"> - </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21</v>
      </c>
      <c r="F14" s="1256">
        <f t="shared" si="0"/>
        <v>209</v>
      </c>
      <c r="G14" s="1256">
        <f t="shared" si="0"/>
        <v>209</v>
      </c>
      <c r="H14" s="1256">
        <f t="shared" si="0"/>
        <v>0</v>
      </c>
      <c r="I14" s="1258">
        <f t="shared" si="0"/>
        <v>0</v>
      </c>
      <c r="J14" s="1257">
        <f t="shared" si="0"/>
        <v>0</v>
      </c>
      <c r="K14" s="1257">
        <f t="shared" si="0"/>
        <v>0</v>
      </c>
      <c r="L14" s="1259">
        <f t="shared" si="0"/>
        <v>0</v>
      </c>
      <c r="M14" s="1259">
        <f t="shared" si="0"/>
        <v>0</v>
      </c>
      <c r="N14" s="1257">
        <f t="shared" si="0"/>
        <v>120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380</v>
      </c>
      <c r="AC14" s="1257">
        <f t="shared" si="1"/>
        <v>0</v>
      </c>
      <c r="AD14" s="1257">
        <f t="shared" si="1"/>
        <v>0</v>
      </c>
      <c r="AE14" s="1257">
        <f t="shared" si="1"/>
        <v>0</v>
      </c>
      <c r="AF14" s="1257">
        <f t="shared" si="1"/>
        <v>268</v>
      </c>
      <c r="AG14" s="1257">
        <f t="shared" si="1"/>
        <v>0</v>
      </c>
      <c r="AH14" s="1257">
        <f t="shared" si="1"/>
        <v>0</v>
      </c>
      <c r="AI14" s="1257">
        <f t="shared" si="1"/>
        <v>0</v>
      </c>
      <c r="AJ14" s="1257">
        <f t="shared" si="1"/>
        <v>0</v>
      </c>
      <c r="AK14" s="1257">
        <f t="shared" si="1"/>
        <v>0</v>
      </c>
      <c r="AL14" s="1257">
        <f t="shared" si="1"/>
        <v>157</v>
      </c>
      <c r="AM14" s="1257">
        <f t="shared" si="1"/>
        <v>168</v>
      </c>
      <c r="AN14" s="1257">
        <f t="shared" si="1"/>
        <v>0</v>
      </c>
      <c r="AO14" s="1257">
        <f t="shared" si="1"/>
        <v>0</v>
      </c>
      <c r="AP14" s="1262">
        <f>IF(ISNUMBER(((Datos!L14/Datos!K14)*11)/factor_trimestre),((Datos!L14/Datos!K14)*11)/factor_trimestre," - ")</f>
        <v>5.090922000923066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-1.8181818181818181</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9</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2</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1.4106584640008002</v>
      </c>
      <c r="AQ23" s="1262">
        <f>IF(ISNUMBER(((Datos!M23/Datos!L23)*11)/factor_trimestre),((Datos!M23/Datos!L23)*11)/factor_trimestre," - ")</f>
        <v>9.0436817472698898</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4.5353982300884957E-2</v>
      </c>
      <c r="AW23" s="1265">
        <f>IF(ISNUMBER((Datos!Q23-Datos!R23)/(Datos!S23-Datos!Q23+Datos!R23)),(Datos!Q23-Datos!R23)/(Datos!S23-Datos!Q23+Datos!R23)," - ")</f>
        <v>0.26141686182669788</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21</v>
      </c>
      <c r="F31" s="1278">
        <f t="shared" si="8"/>
        <v>209</v>
      </c>
      <c r="G31" s="1278">
        <f t="shared" si="8"/>
        <v>209</v>
      </c>
      <c r="H31" s="1278">
        <f t="shared" si="8"/>
        <v>0</v>
      </c>
      <c r="I31" s="1279">
        <f t="shared" si="8"/>
        <v>0</v>
      </c>
      <c r="J31" s="1280">
        <f t="shared" si="8"/>
        <v>0</v>
      </c>
      <c r="K31" s="1280">
        <f t="shared" si="8"/>
        <v>0</v>
      </c>
      <c r="L31" s="1280">
        <f t="shared" si="8"/>
        <v>0</v>
      </c>
      <c r="M31" s="1280">
        <f t="shared" si="8"/>
        <v>0</v>
      </c>
      <c r="N31" s="1279">
        <f t="shared" si="8"/>
        <v>120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380</v>
      </c>
      <c r="AC31" s="1284">
        <f t="shared" si="9"/>
        <v>0</v>
      </c>
      <c r="AD31" s="1284">
        <f t="shared" si="9"/>
        <v>0</v>
      </c>
      <c r="AE31" s="1284">
        <f t="shared" si="9"/>
        <v>0</v>
      </c>
      <c r="AF31" s="1285">
        <f t="shared" si="9"/>
        <v>268</v>
      </c>
      <c r="AG31" s="1285">
        <f t="shared" si="9"/>
        <v>0</v>
      </c>
      <c r="AH31" s="1285">
        <f t="shared" si="9"/>
        <v>0</v>
      </c>
      <c r="AI31" s="1285">
        <f t="shared" si="9"/>
        <v>0</v>
      </c>
      <c r="AJ31" s="1286">
        <f t="shared" si="9"/>
        <v>0</v>
      </c>
      <c r="AK31" s="1286">
        <f t="shared" si="9"/>
        <v>0</v>
      </c>
      <c r="AL31" s="1278">
        <f t="shared" si="9"/>
        <v>157</v>
      </c>
      <c r="AM31" s="1278">
        <f t="shared" si="9"/>
        <v>168</v>
      </c>
      <c r="AN31" s="1278">
        <f t="shared" si="9"/>
        <v>0</v>
      </c>
      <c r="AO31" s="1278">
        <f t="shared" si="9"/>
        <v>0</v>
      </c>
      <c r="AP31" s="1278">
        <f>IF(ISNUMBER(((Datos!L31/Datos!K31)*11)/factor_trimestre),((Datos!L31/Datos!K31)*11)/factor_trimestre," - ")</f>
        <v>2.9316547818176484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-1.8181818181818181</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-0.15324787555811609</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83.6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8.0156097709406993</v>
      </c>
      <c r="F33" s="1006">
        <f>IF(ISNUMBER(STDEV(F8:F30)),STDEV(F8:F30),"-")</f>
        <v>114.47401451857971</v>
      </c>
      <c r="G33" s="1007">
        <f>IF(ISNUMBER(STDEV(G8:G30)),STDEV(G8:G30),"-")</f>
        <v>114.47401451857971</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208.13457185196313</v>
      </c>
      <c r="AC33" s="1008">
        <f>IF(ISNUMBER(STDEV(AC8:AC30)),STDEV(AC8:AC30),"-")</f>
        <v>0</v>
      </c>
      <c r="AD33" s="1011"/>
      <c r="AE33" s="1011"/>
      <c r="AF33" s="1011"/>
      <c r="AG33" s="1011"/>
      <c r="AH33" s="1011"/>
      <c r="AI33" s="1011"/>
      <c r="AJ33" s="1012">
        <f>IF(ISNUMBER(STDEV(AJ8:AJ30)),STDEV(AJ8:AJ30),"-")</f>
        <v>0</v>
      </c>
      <c r="AK33" s="1014"/>
      <c r="AL33" s="1006">
        <f>IF(ISNUMBER(STDEV(AL8:AL30)),STDEV(AL8:AL30),"-")</f>
        <v>85.992441528311076</v>
      </c>
      <c r="AM33" s="1006"/>
      <c r="AN33" s="1006">
        <f>IF(ISNUMBER(STDEV(AN8:AN30)),STDEV(AN8:AN30),"-")</f>
        <v>0</v>
      </c>
      <c r="AO33" s="1012">
        <f>IF(ISNUMBER(STDEV(AO8:AO30)),STDEV(AO8:AO30),"-")</f>
        <v>0</v>
      </c>
      <c r="AP33" s="1065">
        <f>IF(ISNUMBER(STDEV(AP8:AP30)),STDEV(AP8:AP30),"-")</f>
        <v>3.1870700122685154</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Kwd6ocTouKEZoa9ui4cYkcNiUanSejeL4PDne051qqBcr3+n/0G2lZ/cS0bAQndrxKj5tIdOWJx+lTJxKjqUHA==" saltValue="5HGnHXsefIXS1rv76VYn4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GRANADA</v>
      </c>
      <c r="C3" s="463"/>
      <c r="F3" s="436"/>
      <c r="G3" s="436"/>
      <c r="H3" s="436"/>
    </row>
    <row r="4" spans="1:15" ht="13.5" thickBot="1">
      <c r="A4" s="436"/>
      <c r="B4" s="439" t="str">
        <f>Criterios!A11 &amp;"  "&amp;Criterios!B11</f>
        <v>Resumenes por Partidos Judiciales  GRANADA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16</v>
      </c>
      <c r="D9" s="451">
        <f>Datos!BK9</f>
        <v>0</v>
      </c>
      <c r="E9" s="451">
        <f>Datos!AQ9</f>
        <v>16</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2</v>
      </c>
      <c r="D10" s="451">
        <f>Datos!BK10</f>
        <v>0</v>
      </c>
      <c r="E10" s="451">
        <f>Datos!AQ10</f>
        <v>2</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3</v>
      </c>
      <c r="D11" s="451">
        <f>Datos!BK11</f>
        <v>0</v>
      </c>
      <c r="E11" s="451">
        <f>Datos!AQ11</f>
        <v>3</v>
      </c>
      <c r="F11" s="452">
        <f>IF(ISNUMBER(E11/Datos!BH11),E11/Datos!BH11," - ")</f>
        <v>1</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9</v>
      </c>
      <c r="D16" s="451">
        <f>Datos!BK16</f>
        <v>0</v>
      </c>
      <c r="E16" s="451">
        <f>Datos!AQ16</f>
        <v>9</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2</v>
      </c>
      <c r="D18" s="451">
        <f>Datos!BK18</f>
        <v>0</v>
      </c>
      <c r="E18" s="451">
        <f>Datos!AQ18</f>
        <v>2</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sE5pyjtVl4tciHTH9vKUcY2odyi72t42gNUalIaadHm6fQdIlUOOLDXE58tRGRqcQLvprxSSp6b2xhlB6dobzQ==" saltValue="msrY8sKQKfSicqoot0xrg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GRANADA</v>
      </c>
      <c r="C3" s="475"/>
      <c r="D3" s="476"/>
    </row>
    <row r="4" spans="1:9" ht="13.5" thickBot="1">
      <c r="B4" s="477" t="str">
        <f>Criterios!A11 &amp;"  "&amp;Criterios!B11</f>
        <v>Resumenes por Partidos Judiciales  GRANADA</v>
      </c>
    </row>
    <row r="5" spans="1:9" ht="15.75" customHeight="1">
      <c r="A5" s="1591" t="str">
        <f>"Año:  " &amp;Criterios!B5 &amp; "                  Trimestre   " &amp;Criterios!D5 &amp; " al " &amp;Criterios!D6</f>
        <v>Año:  2022                  Trimestre   1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16</v>
      </c>
      <c r="C9" s="458">
        <f>Datos!AQ9</f>
        <v>16</v>
      </c>
      <c r="D9" s="451">
        <f>IF(ISNUMBER(Datos!M9),Datos!M9," - ")</f>
        <v>6478</v>
      </c>
      <c r="E9" s="452">
        <f t="shared" ref="E9:E14" si="0">IF(ISNUMBER(D9/B9),D9/B9," - ")</f>
        <v>404.875</v>
      </c>
      <c r="F9" s="451">
        <f>IF(ISNUMBER(Datos!N9),Datos!N9," - ")</f>
        <v>11259</v>
      </c>
      <c r="G9" s="452">
        <f t="shared" ref="G9:G14" si="1">IF(ISNUMBER(F9/B9),F9/B9," - ")</f>
        <v>703.6875</v>
      </c>
      <c r="H9" s="451">
        <f>IF(ISNUMBER(Datos!O9),Datos!O9," - ")</f>
        <v>13746</v>
      </c>
      <c r="I9" s="452">
        <f>IF(ISNUMBER(H9/B9),H9/B9," - ")</f>
        <v>859.125</v>
      </c>
    </row>
    <row r="10" spans="1:9">
      <c r="A10" s="450" t="str">
        <f>Datos!A10</f>
        <v>Jdos. Violencia contra la mujer</v>
      </c>
      <c r="B10" s="480">
        <f>Datos!AO10</f>
        <v>2</v>
      </c>
      <c r="C10" s="458">
        <f>Datos!AQ10</f>
        <v>2</v>
      </c>
      <c r="D10" s="451">
        <f>IF(ISNUMBER(Datos!M10),Datos!M10," - ")</f>
        <v>157</v>
      </c>
      <c r="E10" s="452">
        <f>IF(ISNUMBER(D10/B10),D10/B10," - ")</f>
        <v>78.5</v>
      </c>
      <c r="F10" s="451">
        <f>IF(ISNUMBER(Datos!N10),Datos!N10," - ")</f>
        <v>168</v>
      </c>
      <c r="G10" s="452">
        <f>IF(ISNUMBER(F10/B10),F10/B10," - ")</f>
        <v>84</v>
      </c>
      <c r="H10" s="451">
        <f>IF(ISNUMBER(Datos!O10),Datos!O10," - ")</f>
        <v>111</v>
      </c>
      <c r="I10" s="452">
        <f t="shared" ref="I10:I13" si="2">IF(ISNUMBER(H10/B10),H10/B10," - ")</f>
        <v>55.5</v>
      </c>
    </row>
    <row r="11" spans="1:9">
      <c r="A11" s="450" t="str">
        <f>Datos!A11</f>
        <v xml:space="preserve">Jdos. Familia                                   </v>
      </c>
      <c r="B11" s="480">
        <f>Datos!AO11</f>
        <v>3</v>
      </c>
      <c r="C11" s="458">
        <f>Datos!AQ11</f>
        <v>3</v>
      </c>
      <c r="D11" s="451">
        <f>IF(ISNUMBER(Datos!M11),Datos!M11," - ")</f>
        <v>1423</v>
      </c>
      <c r="E11" s="452">
        <f t="shared" si="0"/>
        <v>474.33333333333331</v>
      </c>
      <c r="F11" s="451">
        <f>IF(ISNUMBER(Datos!N11),Datos!N11," - ")</f>
        <v>928</v>
      </c>
      <c r="G11" s="452">
        <f t="shared" si="1"/>
        <v>309.33333333333331</v>
      </c>
      <c r="H11" s="451">
        <f>IF(ISNUMBER(Datos!O11),Datos!O11," - ")</f>
        <v>1135</v>
      </c>
      <c r="I11" s="452">
        <f t="shared" si="2"/>
        <v>378.33333333333331</v>
      </c>
    </row>
    <row r="12" spans="1:9">
      <c r="A12" s="450" t="str">
        <f>Datos!A12</f>
        <v xml:space="preserve">Jdos. 1ª Instª. e Instr.                        </v>
      </c>
      <c r="B12" s="480">
        <f>Datos!AO12</f>
        <v>0</v>
      </c>
      <c r="C12" s="458">
        <f>Datos!AQ12</f>
        <v>0</v>
      </c>
      <c r="D12" s="451" t="str">
        <f>IF(ISNUMBER(Datos!M12),Datos!M12," - ")</f>
        <v xml:space="preserve"> - </v>
      </c>
      <c r="E12" s="452" t="str">
        <f t="shared" si="0"/>
        <v xml:space="preserve"> - </v>
      </c>
      <c r="F12" s="451" t="str">
        <f>IF(ISNUMBER(Datos!N12),Datos!N12," - ")</f>
        <v xml:space="preserve"> - </v>
      </c>
      <c r="G12" s="452" t="str">
        <f t="shared" si="1"/>
        <v xml:space="preserve"> - </v>
      </c>
      <c r="H12" s="451" t="str">
        <f>IF(ISNUMBER(Datos!O12),Datos!O12," - ")</f>
        <v xml:space="preserve"> - </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21</v>
      </c>
      <c r="C14" s="1148">
        <f>Datos!AR14</f>
        <v>21</v>
      </c>
      <c r="D14" s="1146">
        <f>SUBTOTAL(9,D9:D13)</f>
        <v>8058</v>
      </c>
      <c r="E14" s="1147">
        <f t="shared" si="0"/>
        <v>383.71428571428572</v>
      </c>
      <c r="F14" s="1146">
        <f>SUBTOTAL(9,F9:F13)</f>
        <v>12355</v>
      </c>
      <c r="G14" s="1147">
        <f t="shared" si="1"/>
        <v>588.33333333333337</v>
      </c>
      <c r="H14" s="1146">
        <f>SUBTOTAL(9,H9:H13)</f>
        <v>14992</v>
      </c>
      <c r="I14" s="1147">
        <f>IF(ISNUMBER(H14/B14),H14/B14," - ")</f>
        <v>713.90476190476193</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9</v>
      </c>
      <c r="C16" s="481">
        <f>Datos!AQ16</f>
        <v>9</v>
      </c>
      <c r="D16" s="451">
        <f>IF(ISNUMBER(Datos!M16),Datos!M16," - ")</f>
        <v>3675</v>
      </c>
      <c r="E16" s="452">
        <f t="shared" ref="E16:E23" si="3">IF(ISNUMBER(D16/B16),D16/B16," - ")</f>
        <v>408.33333333333331</v>
      </c>
      <c r="F16" s="451">
        <f>IF(ISNUMBER(Datos!N16),Datos!N16," - ")</f>
        <v>25921</v>
      </c>
      <c r="G16" s="452">
        <f t="shared" ref="G16:G23" si="4">IF(ISNUMBER(F16/B16),F16/B16," - ")</f>
        <v>2880.1111111111113</v>
      </c>
      <c r="H16" s="451">
        <f>IF(ISNUMBER(Datos!O16),Datos!O16," - ")</f>
        <v>1205</v>
      </c>
      <c r="I16" s="452">
        <f t="shared" ref="I16:I22" si="5">IF(ISNUMBER(H16/B16),H16/B16," - ")</f>
        <v>133.88888888888889</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2</v>
      </c>
      <c r="C18" s="481">
        <f>Datos!AQ18</f>
        <v>2</v>
      </c>
      <c r="D18" s="451">
        <f>IF(ISNUMBER(Datos!M18),Datos!M18," - ")</f>
        <v>541</v>
      </c>
      <c r="E18" s="452">
        <f>IF(ISNUMBER(D18/B18),D18/B18," - ")</f>
        <v>270.5</v>
      </c>
      <c r="F18" s="451">
        <f>IF(ISNUMBER(Datos!N18),Datos!N18," - ")</f>
        <v>2270</v>
      </c>
      <c r="G18" s="452">
        <f>IF(ISNUMBER(F18/B18),F18/B18," - ")</f>
        <v>1135</v>
      </c>
      <c r="H18" s="451">
        <f>IF(ISNUMBER(Datos!O18),Datos!O18," - ")</f>
        <v>198</v>
      </c>
      <c r="I18" s="452">
        <f t="shared" si="5"/>
        <v>99</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11</v>
      </c>
      <c r="C23" s="1148">
        <f>Datos!AR23</f>
        <v>11</v>
      </c>
      <c r="D23" s="1146">
        <f>SUBTOTAL(9,D16:D22)</f>
        <v>4216</v>
      </c>
      <c r="E23" s="1147">
        <f t="shared" si="3"/>
        <v>383.27272727272725</v>
      </c>
      <c r="F23" s="1146">
        <f>SUBTOTAL(9,F16:F22)</f>
        <v>28191</v>
      </c>
      <c r="G23" s="1147">
        <f t="shared" si="4"/>
        <v>2562.818181818182</v>
      </c>
      <c r="H23" s="1146">
        <f>SUBTOTAL(9,H16:H22)</f>
        <v>1403</v>
      </c>
      <c r="I23" s="1147">
        <f>IF(ISNUMBER(H23/B23),H23/B23," - ")</f>
        <v>127.54545454545455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30</v>
      </c>
      <c r="C31" s="1084">
        <f>Datos!AR31</f>
        <v>30</v>
      </c>
      <c r="D31" s="1084">
        <f>SUBTOTAL(9,D8:D30)</f>
        <v>12274</v>
      </c>
      <c r="E31" s="1085">
        <f>IF(ISNUMBER(D31/B31),D31/B31," - ")</f>
        <v>409.13333333333333</v>
      </c>
      <c r="F31" s="1084">
        <f>SUBTOTAL(9,F8:F30)</f>
        <v>40546</v>
      </c>
      <c r="G31" s="1085">
        <f>IF(ISNUMBER(F31/B31),F31/B31," - ")</f>
        <v>1351.5333333333333</v>
      </c>
      <c r="H31" s="1084">
        <f>SUBTOTAL(9,H8:H30)</f>
        <v>16395</v>
      </c>
      <c r="I31" s="1085">
        <f>IF(ISNUMBER(H31/B31),H31/B31," - ")</f>
        <v>546.5</v>
      </c>
    </row>
    <row r="34" spans="1:1">
      <c r="A34" s="439" t="str">
        <f>Criterios!A4</f>
        <v>Fecha Informe: 06 may. 2023</v>
      </c>
    </row>
    <row r="39" spans="1:1">
      <c r="A39" s="462"/>
    </row>
  </sheetData>
  <sheetProtection algorithmName="SHA-512" hashValue="Ayl5gtBHd2HJB0VFWJbTPqPp+aTvr0f2SURtXEyTLIjC12hMoToPm7+bt/jOlae0Ce953emJnDHoA/nb/d8pvw==" saltValue="EeRb7fiIzcQvnGxkk3YAv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GRANADA</v>
      </c>
    </row>
    <row r="4" spans="1:4" ht="13.5" thickBot="1">
      <c r="B4" s="439" t="str">
        <f>Criterios!A11 &amp;"  "&amp;Criterios!B11</f>
        <v>Resumenes por Partidos Judiciales  GRANADA</v>
      </c>
    </row>
    <row r="5" spans="1:4" ht="12.75" customHeight="1">
      <c r="A5" s="1591" t="str">
        <f>"Año:  " &amp;Criterios!B5 &amp; "                  Trimestre   " &amp;Criterios!D5 &amp; " al " &amp;Criterios!D6</f>
        <v>Año:  2022                  Trimestre   1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6051</v>
      </c>
      <c r="C9" s="489">
        <f>IF(ISNUMBER(Datos!Q9),Datos!Q9," - ")</f>
        <v>10212</v>
      </c>
      <c r="D9" s="456">
        <f>IF(ISNUMBER(Datos!R9),Datos!R9," - ")</f>
        <v>21109</v>
      </c>
    </row>
    <row r="10" spans="1:4">
      <c r="A10" s="450" t="str">
        <f>Datos!A10</f>
        <v>Jdos. Violencia contra la mujer</v>
      </c>
      <c r="B10" s="488">
        <f>IF(ISNUMBER(Datos!P10),Datos!P10," - ")</f>
        <v>120</v>
      </c>
      <c r="C10" s="489">
        <f>IF(ISNUMBER(Datos!Q10),Datos!Q10," - ")</f>
        <v>103</v>
      </c>
      <c r="D10" s="456">
        <f>IF(ISNUMBER(Datos!R10),Datos!R10," - ")</f>
        <v>229</v>
      </c>
    </row>
    <row r="11" spans="1:4">
      <c r="A11" s="450" t="str">
        <f>Datos!A11</f>
        <v xml:space="preserve">Jdos. Familia                                   </v>
      </c>
      <c r="B11" s="488">
        <f>IF(ISNUMBER(Datos!P11),Datos!P11," - ")</f>
        <v>523</v>
      </c>
      <c r="C11" s="489">
        <f>IF(ISNUMBER(Datos!Q11),Datos!Q11," - ")</f>
        <v>676</v>
      </c>
      <c r="D11" s="456">
        <f>IF(ISNUMBER(Datos!R11),Datos!R11," - ")</f>
        <v>1233</v>
      </c>
    </row>
    <row r="12" spans="1:4">
      <c r="A12" s="450" t="str">
        <f>Datos!A12</f>
        <v xml:space="preserve">Jdos. 1ª Instª. e Instr.                        </v>
      </c>
      <c r="B12" s="488" t="str">
        <f>IF(ISNUMBER(Datos!P12),Datos!P12," - ")</f>
        <v xml:space="preserve"> - </v>
      </c>
      <c r="C12" s="489" t="str">
        <f>IF(ISNUMBER(Datos!Q12),Datos!Q12," - ")</f>
        <v xml:space="preserve"> - </v>
      </c>
      <c r="D12" s="456" t="str">
        <f>IF(ISNUMBER(Datos!R12),Datos!R12," - ")</f>
        <v xml:space="preserve"> - </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6694</v>
      </c>
      <c r="C14" s="1150">
        <f>SUBTOTAL(9,C9:C13)</f>
        <v>10991</v>
      </c>
      <c r="D14" s="1148">
        <f>SUBTOTAL(9,D9:D13)</f>
        <v>22571</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1671</v>
      </c>
      <c r="C16" s="489">
        <f>IF(ISNUMBER(Datos!Q16),Datos!Q16," - ")</f>
        <v>1573</v>
      </c>
      <c r="D16" s="456">
        <f>IF(ISNUMBER(Datos!R16),Datos!R16," - ")</f>
        <v>846</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208</v>
      </c>
      <c r="C18" s="489">
        <f>IF(ISNUMBER(Datos!Q18),Datos!Q18," - ")</f>
        <v>265</v>
      </c>
      <c r="D18" s="456">
        <f>IF(ISNUMBER(Datos!R18),Datos!R18," - ")</f>
        <v>99</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1879</v>
      </c>
      <c r="C23" s="1150">
        <f>SUBTOTAL(9,C16:C22)</f>
        <v>1838</v>
      </c>
      <c r="D23" s="1148">
        <f>SUBTOTAL(9,D16:D22)</f>
        <v>945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8573</v>
      </c>
      <c r="C31" s="1089">
        <f>SUBTOTAL(9,C8:C30)</f>
        <v>12829</v>
      </c>
      <c r="D31" s="1090">
        <f>SUBTOTAL(9,D8:D30)</f>
        <v>23516</v>
      </c>
    </row>
    <row r="32" spans="1:4" ht="7.5" customHeight="1"/>
    <row r="33" spans="1:1" ht="6" customHeight="1"/>
    <row r="34" spans="1:1">
      <c r="A34" s="439" t="str">
        <f>Criterios!A4</f>
        <v>Fecha Informe: 06 may. 2023</v>
      </c>
    </row>
    <row r="39" spans="1:1">
      <c r="A39" s="462"/>
    </row>
  </sheetData>
  <sheetProtection algorithmName="SHA-512" hashValue="NeKVKOmjYG5ieMd5FOr8nnY82RQVy71RwVvAsrJLrU3cQYJEZjeHYIXhipMu0t00R7KMFU8bb3g2zbcUxcmQRQ==" saltValue="3Xe5/0zcJvr2F5kgX/B3u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GRANADA</v>
      </c>
    </row>
    <row r="4" spans="1:11" ht="10.5" customHeight="1" thickBot="1">
      <c r="B4" s="439" t="str">
        <f>Criterios!A11 &amp;"  "&amp;Criterios!B11</f>
        <v>Resumenes por Partidos Judiciales  GRANADA</v>
      </c>
    </row>
    <row r="5" spans="1:11" ht="12.75" customHeight="1">
      <c r="A5" s="1591" t="str">
        <f>"Año:  " &amp;Criterios!B5 &amp; "    Trimestre   " &amp;Criterios!D5 &amp; " al " &amp;Criterios!D6</f>
        <v>Año:  2022    Trimestre   1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-0.16517259834091516</v>
      </c>
      <c r="C9" s="515">
        <f>IF(ISNUMBER(
   IF(J_V="SI",(Datos!J9-Datos!T9)/Datos!T9,(Datos!J9+Datos!Z9-(Datos!T9+Datos!AH9))/(Datos!T9+Datos!AH9))
     ),IF(J_V="SI",(Datos!J9-Datos!T9)/Datos!T9,(Datos!J9+Datos!Z9-(Datos!T9+Datos!AH9))/(Datos!T9+Datos!AH9))," - ")</f>
        <v>3.4067023597065239E-2</v>
      </c>
      <c r="D9" s="515">
        <f>IF(ISNUMBER(
   IF(J_V="SI",(Datos!K9-Datos!U9)/Datos!U9,(Datos!K9+Datos!AA9-(Datos!U9+Datos!AI9))/(Datos!U9+Datos!AI9))
     ),IF(J_V="SI",(Datos!K9-Datos!U9)/Datos!U9,(Datos!K9+Datos!AA9-(Datos!U9+Datos!AI9))/(Datos!U9+Datos!AI9))," - ")</f>
        <v>-1.2551852381633529E-2</v>
      </c>
      <c r="E9" s="515">
        <f>IF(ISNUMBER(
   IF(J_V="SI",(Datos!L9-Datos!V9)/Datos!V9,(Datos!L9+Datos!AB9-(Datos!V9+Datos!AJ9))/(Datos!V9+Datos!AJ9))
     ),IF(J_V="SI",(Datos!L9-Datos!V9)/Datos!V9,(Datos!L9+Datos!AB9-(Datos!V9+Datos!AJ9))/(Datos!V9+Datos!AJ9))," - ")</f>
        <v>-3.4538023880118597E-2</v>
      </c>
      <c r="F9" s="515">
        <f>IF(ISNUMBER((Datos!M9-Datos!W9)/Datos!W9),(Datos!M9-Datos!W9)/Datos!W9," - ")</f>
        <v>-2.5718153105730186E-2</v>
      </c>
      <c r="G9" s="516">
        <f>IF(ISNUMBER((Datos!N9-Datos!X9)/Datos!X9),(Datos!N9-Datos!X9)/Datos!X9," - ")</f>
        <v>3.8270011066027294E-2</v>
      </c>
      <c r="H9" s="514">
        <f>IF(ISNUMBER(((NºAsuntos!G9/NºAsuntos!E9)-Datos!BD9)/Datos!BD9),((NºAsuntos!G9/NºAsuntos!E9)-Datos!BD9)/Datos!BD9," - ")</f>
        <v>-4.5083031287983737E-2</v>
      </c>
      <c r="I9" s="515">
        <f>IF(ISNUMBER(((NºAsuntos!I9/NºAsuntos!G9)-Datos!BE9)/Datos!BE9),((NºAsuntos!I9/NºAsuntos!G9)-Datos!BE9)/Datos!BE9," - ")</f>
        <v>-2.2265646607888909E-2</v>
      </c>
      <c r="J9" s="521">
        <f>IF(ISNUMBER((('Resol  Asuntos'!D9/NºAsuntos!G9)-Datos!BF9)/Datos!BF9),(('Resol  Asuntos'!D9/NºAsuntos!G9)-Datos!BF9)/Datos!BF9," - ")</f>
        <v>-0.39502540802026553</v>
      </c>
      <c r="K9" s="522">
        <f>IF(ISNUMBER((((NºAsuntos!C9+NºAsuntos!E9)/NºAsuntos!G9)-Datos!BG9)/Datos!BG9),(((NºAsuntos!C9+NºAsuntos!E9)/NºAsuntos!G9)-Datos!BG9)/Datos!BG9," - ")</f>
        <v>-2.7884800430892413E-2</v>
      </c>
    </row>
    <row r="10" spans="1:11">
      <c r="A10" s="450" t="str">
        <f>Datos!A10</f>
        <v>Jdos. Violencia contra la mujer</v>
      </c>
      <c r="B10" s="514">
        <f>IF(ISNUMBER((Datos!I10-Datos!S10)/Datos!S10),(Datos!I10-Datos!S10)/Datos!S10," - ")</f>
        <v>-0.05</v>
      </c>
      <c r="C10" s="515">
        <f>IF(ISNUMBER((Datos!J10-Datos!T10)/Datos!T10),(Datos!J10-Datos!T10)/Datos!T10," - ")</f>
        <v>1.8561484918793503E-2</v>
      </c>
      <c r="D10" s="515">
        <f>IF(ISNUMBER((Datos!K10-Datos!U10)/Datos!U10),(Datos!K10-Datos!U10)/Datos!U10," - ")</f>
        <v>-0.14027149321266968</v>
      </c>
      <c r="E10" s="515">
        <f>IF(ISNUMBER((Datos!L10-Datos!V10)/Datos!V10),(Datos!L10-Datos!V10)/Datos!V10," - ")</f>
        <v>0.28229665071770332</v>
      </c>
      <c r="F10" s="515">
        <f>IF(ISNUMBER((Datos!M10-Datos!W10)/Datos!W10),(Datos!M10-Datos!W10)/Datos!W10," - ")</f>
        <v>-5.9880239520958084E-2</v>
      </c>
      <c r="G10" s="516">
        <f>IF(ISNUMBER((Datos!N10-Datos!X10)/Datos!X10),(Datos!N10-Datos!X10)/Datos!X10," - ")</f>
        <v>-5.6179775280898875E-2</v>
      </c>
      <c r="H10" s="514">
        <f>IF(ISNUMBER(((NºAsuntos!G10/NºAsuntos!E10)-Datos!BD10)/Datos!BD10),((NºAsuntos!G10/NºAsuntos!E10)-Datos!BD10)/Datos!BD10," - ")</f>
        <v>-0.15593852750492168</v>
      </c>
      <c r="I10" s="515">
        <f>IF(ISNUMBER(((NºAsuntos!I10/NºAsuntos!G10)-Datos!BE10)/Datos!BE10),((NºAsuntos!I10/NºAsuntos!G10)-Datos!BE10)/Datos!BE10," - ")</f>
        <v>0.49151347267690759</v>
      </c>
      <c r="J10" s="521">
        <f>IF(ISNUMBER((('Resol  Asuntos'!D10/NºAsuntos!G10)-Datos!BF10)/Datos!BF10),(('Resol  Asuntos'!D10/NºAsuntos!G10)-Datos!BF10)/Datos!BF10," - ")</f>
        <v>9.3507721399306701E-2</v>
      </c>
      <c r="K10" s="522">
        <f>IF(ISNUMBER((((NºAsuntos!C10+NºAsuntos!E10)/NºAsuntos!G10)-Datos!BG10)/Datos!BG10),(((NºAsuntos!C10+NºAsuntos!E10)/NºAsuntos!G10)-Datos!BG10)/Datos!BG10," - ")</f>
        <v>0.1577977201067183</v>
      </c>
    </row>
    <row r="11" spans="1:11">
      <c r="A11" s="450" t="str">
        <f>Datos!A11</f>
        <v xml:space="preserve">Jdos. Familia                                   </v>
      </c>
      <c r="B11" s="514">
        <f>IF(ISNUMBER(
   IF(J_V="SI",(Datos!I11-Datos!S11)/Datos!S11,(Datos!I11+Datos!Y11-(Datos!S11+Datos!AG11))/(Datos!S11+Datos!AG11))
     ),IF(J_V="SI",(Datos!I11-Datos!S11)/Datos!S11,(Datos!I11+Datos!Y11-(Datos!S11+Datos!AG11))/(Datos!S11+Datos!AG11))," - ")</f>
        <v>-0.24642392717815345</v>
      </c>
      <c r="C11" s="515">
        <f>IF(ISNUMBER(
   IF(J_V="SI",(Datos!J11-Datos!T11)/Datos!T11,(Datos!J11+Datos!Z11-(Datos!T11+Datos!AH11))/(Datos!T11+Datos!AH11))
     ),IF(J_V="SI",(Datos!J11-Datos!T11)/Datos!T11,(Datos!J11+Datos!Z11-(Datos!T11+Datos!AH11))/(Datos!T11+Datos!AH11))," - ")</f>
        <v>-9.5483133218982275E-2</v>
      </c>
      <c r="D11" s="515">
        <f>IF(ISNUMBER(
   IF(J_V="SI",(Datos!K11-Datos!U11)/Datos!U11,(Datos!K11+Datos!AA11-(Datos!U11+Datos!AI11))/(Datos!U11+Datos!AI11))
     ),IF(J_V="SI",(Datos!K11-Datos!U11)/Datos!U11,(Datos!K11+Datos!AA11-(Datos!U11+Datos!AI11))/(Datos!U11+Datos!AI11))," - ")</f>
        <v>-0.17977817900438484</v>
      </c>
      <c r="E11" s="515">
        <f>IF(ISNUMBER(
   IF(J_V="SI",(Datos!L11-Datos!V11)/Datos!V11,(Datos!L11+Datos!AB11-(Datos!V11+Datos!AJ11))/(Datos!V11+Datos!AJ11))
     ),IF(J_V="SI",(Datos!L11-Datos!V11)/Datos!V11,(Datos!L11+Datos!AB11-(Datos!V11+Datos!AJ11))/(Datos!V11+Datos!AJ11))," - ")</f>
        <v>-1.4667817083692839E-2</v>
      </c>
      <c r="F11" s="515">
        <f>IF(ISNUMBER((Datos!M11-Datos!W11)/Datos!W11),(Datos!M11-Datos!W11)/Datos!W11," - ")</f>
        <v>-0.17698091382301909</v>
      </c>
      <c r="G11" s="516">
        <f>IF(ISNUMBER((Datos!N11-Datos!X11)/Datos!X11),(Datos!N11-Datos!X11)/Datos!X11," - ")</f>
        <v>-0.16094032549728751</v>
      </c>
      <c r="H11" s="514">
        <f>IF(ISNUMBER(((NºAsuntos!G11/NºAsuntos!E11)-Datos!BD11)/Datos!BD11),((NºAsuntos!G11/NºAsuntos!E11)-Datos!BD11)/Datos!BD11," - ")</f>
        <v>-9.3193448216604954E-2</v>
      </c>
      <c r="I11" s="515">
        <f>IF(ISNUMBER(((NºAsuntos!I11/NºAsuntos!G11)-Datos!BE11)/Datos!BE11),((NºAsuntos!I11/NºAsuntos!G11)-Datos!BE11)/Datos!BE11," - ")</f>
        <v>0.20129964564984992</v>
      </c>
      <c r="J11" s="521">
        <f>IF(ISNUMBER((('Resol  Asuntos'!D11/NºAsuntos!G11)-Datos!BF11)/Datos!BF11),(('Resol  Asuntos'!D11/NºAsuntos!G11)-Datos!BF11)/Datos!BF11," - ")</f>
        <v>0.56862255052486732</v>
      </c>
      <c r="K11" s="522">
        <f>IF(ISNUMBER((((NºAsuntos!C11+NºAsuntos!E11)/NºAsuntos!G11)-Datos!BG11)/Datos!BG11),(((NºAsuntos!C11+NºAsuntos!E11)/NºAsuntos!G11)-Datos!BG11)/Datos!BG11," - ")</f>
        <v>4.6569791838386297E-2</v>
      </c>
    </row>
    <row r="12" spans="1:11">
      <c r="A12" s="450" t="str">
        <f>Datos!A12</f>
        <v xml:space="preserve">Jdos. 1ª Instª. e Instr.                        </v>
      </c>
      <c r="B12" s="514" t="str">
        <f>IF(ISNUMBER(
   IF(J_V="SI",(Datos!I12-Datos!S12)/Datos!S12,(Datos!I12+Datos!Y12-(Datos!S12+Datos!AG12))/(Datos!S12+Datos!AG12))
     ),IF(J_V="SI",(Datos!I12-Datos!S12)/Datos!S12,(Datos!I12+Datos!Y12-(Datos!S12+Datos!AG12))/(Datos!S12+Datos!AG12))," - ")</f>
        <v xml:space="preserve"> - </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t="str">
        <f>IF(ISNUMBER(
   IF(J_V="SI",(Datos!L12-Datos!V12)/Datos!V12,(Datos!L12+Datos!AB12-(Datos!V12+Datos!AJ12))/(Datos!V12+Datos!AJ12))
     ),IF(J_V="SI",(Datos!L12-Datos!V12)/Datos!V12,(Datos!L12+Datos!AB12-(Datos!V12+Datos!AJ12))/(Datos!V12+Datos!AJ12))," - ")</f>
        <v xml:space="preserve"> - </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-0.17113611875972704</v>
      </c>
      <c r="C14" s="1152">
        <f>IF(ISNUMBER(
   IF(J_V="SI",(Datos!J14-Datos!T14)/Datos!T14,(Datos!J14+Datos!Z14-(Datos!T14+Datos!AH14))/(Datos!T14+Datos!AH14))
     ),IF(J_V="SI",(Datos!J14-Datos!T14)/Datos!T14,(Datos!J14+Datos!Z14-(Datos!T14+Datos!AH14))/(Datos!T14+Datos!AH14))," - ")</f>
        <v>1.8288498490255285E-2</v>
      </c>
      <c r="D14" s="1152">
        <f>IF(ISNUMBER(
   IF(J_V="SI",(Datos!K14-Datos!U14)/Datos!U14,(Datos!K14+Datos!AA14-(Datos!U14+Datos!AI14))/(Datos!U14+Datos!AI14))
     ),IF(J_V="SI",(Datos!K14-Datos!U14)/Datos!U14,(Datos!K14+Datos!AA14-(Datos!U14+Datos!AI14))/(Datos!U14+Datos!AI14))," - ")</f>
        <v>-3.4383421615091538E-2</v>
      </c>
      <c r="E14" s="1152">
        <f>IF(ISNUMBER(
   IF(J_V="SI",(Datos!L14-Datos!V14)/Datos!V14,(Datos!L14+Datos!AB14-(Datos!V14+Datos!AJ14))/(Datos!V14+Datos!AJ14))
     ),IF(J_V="SI",(Datos!L14-Datos!V14)/Datos!V14,(Datos!L14+Datos!AB14-(Datos!V14+Datos!AJ14))/(Datos!V14+Datos!AJ14))," - ")</f>
        <v>-2.8092727666642593E-2</v>
      </c>
      <c r="F14" s="1153">
        <f>IF(ISNUMBER((Datos!M14-Datos!W14)/Datos!W14),(Datos!M14-Datos!W14)/Datos!W14," - ")</f>
        <v>-5.6992393212404915E-2</v>
      </c>
      <c r="G14" s="1154">
        <f>IF(ISNUMBER((Datos!N14-Datos!X14)/Datos!X14),(Datos!N14-Datos!X14)/Datos!X14," - ")</f>
        <v>1.8717018469656992E-2</v>
      </c>
      <c r="H14" s="1154">
        <f>IF(ISNUMBER(((NºAsuntos!G14/NºAsuntos!E14)-Datos!BD14)/Datos!BD14),((NºAsuntos!G14/NºAsuntos!E14)-Datos!BD14)/Datos!BD14," - ")</f>
        <v>-5.1725930503427782E-2</v>
      </c>
      <c r="I14" s="1154">
        <f>IF(ISNUMBER(((NºAsuntos!I14/NºAsuntos!G14)-Datos!BE14)/Datos!BE14),((NºAsuntos!I14/NºAsuntos!G14)-Datos!BE14)/Datos!BE14," - ")</f>
        <v>6.5146913270386648E-3</v>
      </c>
      <c r="J14" s="1154">
        <f>IF(ISNUMBER((('Resol  Asuntos'!D14/NºAsuntos!G14)-Datos!BF14)/Datos!BF14),(('Resol  Asuntos'!D14/NºAsuntos!G14)-Datos!BF14)/Datos!BF14," - ")</f>
        <v>-0.31130418845474217</v>
      </c>
      <c r="K14" s="1154">
        <f>IF(ISNUMBER((((NºAsuntos!C14+NºAsuntos!E14)/NºAsuntos!G14)-Datos!BG14)/Datos!BG14),(((NºAsuntos!C14+NºAsuntos!E14)/NºAsuntos!G14)-Datos!BG14)/Datos!BG14," - ")</f>
        <v>-1.6929309368994044E-2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-9.8394614189539105E-3</v>
      </c>
      <c r="C16" s="515">
        <f>IF(ISNUMBER(
   IF(D_I="SI",(Datos!J16-Datos!T16)/Datos!T16,(Datos!J16+Datos!AD16-(Datos!T16+Datos!AL16))/(Datos!T16+Datos!AL16))
     ),IF(D_I="SI",(Datos!J16-Datos!T16)/Datos!T16,(Datos!J16+Datos!AD16-(Datos!T16+Datos!AL16))/(Datos!T16+Datos!AL16))," - ")</f>
        <v>4.4989261707527962E-2</v>
      </c>
      <c r="D16" s="515">
        <f>IF(ISNUMBER(
   IF(D_I="SI",(Datos!K16-Datos!U16)/Datos!U16,(Datos!K16+Datos!AE16-(Datos!U16+Datos!AM16))/(Datos!U16+Datos!AM16))
     ),IF(D_I="SI",(Datos!K16-Datos!U16)/Datos!U16,(Datos!K16+Datos!AE16-(Datos!U16+Datos!AM16))/(Datos!U16+Datos!AM16))," - ")</f>
        <v>1.892788063000829E-2</v>
      </c>
      <c r="E16" s="515">
        <f>IF(ISNUMBER(
   IF(D_I="SI",(Datos!L16-Datos!V16)/Datos!V16,(Datos!L16+Datos!AF16-(Datos!V16+Datos!AN16))/(Datos!V16+Datos!AN16))
     ),IF(D_I="SI",(Datos!L16-Datos!V16)/Datos!V16,(Datos!L16+Datos!AF16-(Datos!V16+Datos!AN16))/(Datos!V16+Datos!AN16))," - ")</f>
        <v>0.24372384937238495</v>
      </c>
      <c r="F16" s="515">
        <f>IF(ISNUMBER((Datos!M16-Datos!W16)/Datos!W16),(Datos!M16-Datos!W16)/Datos!W16," - ")</f>
        <v>-0.02</v>
      </c>
      <c r="G16" s="516">
        <f>IF(ISNUMBER((Datos!N16-Datos!X16)/Datos!X16),(Datos!N16-Datos!X16)/Datos!X16," - ")</f>
        <v>4.2427410922544838E-2</v>
      </c>
      <c r="H16" s="514">
        <f>IF(ISNUMBER(((NºAsuntos!G16/NºAsuntos!E16)-Datos!BD16)/Datos!BD16),((NºAsuntos!G16/NºAsuntos!E16)-Datos!BD16)/Datos!BD16," - ")</f>
        <v>-2.4939376922337834E-2</v>
      </c>
      <c r="I16" s="515">
        <f>IF(ISNUMBER(((NºAsuntos!I16/NºAsuntos!G16)-Datos!BE16)/Datos!BE16),((NºAsuntos!I16/NºAsuntos!G16)-Datos!BE16)/Datos!BE16," - ")</f>
        <v>0.22062009786539949</v>
      </c>
      <c r="J16" s="521">
        <f>IF(ISNUMBER((('Resol  Asuntos'!D16/NºAsuntos!G16)-Datos!BF16)/Datos!BF16),(('Resol  Asuntos'!D16/NºAsuntos!G16)-Datos!BF16)/Datos!BF16," - ")</f>
        <v>-3.8204745762711864E-2</v>
      </c>
      <c r="K16" s="522">
        <f>IF(ISNUMBER((((NºAsuntos!C16+NºAsuntos!E16)/NºAsuntos!G16)-Datos!BG16)/Datos!BG16),(((NºAsuntos!C16+NºAsuntos!E16)/NºAsuntos!G16)-Datos!BG16)/Datos!BG16," - ")</f>
        <v>2.0344599338080395E-2</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1.3422818791946308E-2</v>
      </c>
      <c r="C18" s="515">
        <f>IF(ISNUMBER(
   IF(D_I="SI",(Datos!J18-Datos!T18)/Datos!T18,(Datos!J18+Datos!AD18-(Datos!T18+Datos!AL18))/(Datos!T18+Datos!AL18))
     ),IF(D_I="SI",(Datos!J18-Datos!T18)/Datos!T18,(Datos!J18+Datos!AD18-(Datos!T18+Datos!AL18))/(Datos!T18+Datos!AL18))," - ")</f>
        <v>9.6469765816148204E-2</v>
      </c>
      <c r="D18" s="515">
        <f>IF(ISNUMBER(
   IF(D_I="SI",(Datos!K18-Datos!U18)/Datos!U18,(Datos!K18+Datos!AE18-(Datos!U18+Datos!AM18))/(Datos!U18+Datos!AM18))
     ),IF(D_I="SI",(Datos!K18-Datos!U18)/Datos!U18,(Datos!K18+Datos!AE18-(Datos!U18+Datos!AM18))/(Datos!U18+Datos!AM18))," - ")</f>
        <v>8.4698501219937258E-2</v>
      </c>
      <c r="E18" s="515">
        <f>IF(ISNUMBER(
   IF(D_I="SI",(Datos!L18-Datos!V18)/Datos!V18,(Datos!L18+Datos!AF18-(Datos!V18+Datos!AN18))/(Datos!V18+Datos!AN18))
     ),IF(D_I="SI",(Datos!L18-Datos!V18)/Datos!V18,(Datos!L18+Datos!AF18-(Datos!V18+Datos!AN18))/(Datos!V18+Datos!AN18))," - ")</f>
        <v>-0.17880794701986755</v>
      </c>
      <c r="F18" s="515">
        <f>IF(ISNUMBER((Datos!M18-Datos!W18)/Datos!W18),(Datos!M18-Datos!W18)/Datos!W18," - ")</f>
        <v>-3.6832412523020259E-3</v>
      </c>
      <c r="G18" s="516">
        <f>IF(ISNUMBER((Datos!N18-Datos!X18)/Datos!X18),(Datos!N18-Datos!X18)/Datos!X18," - ")</f>
        <v>1.8850987432675045E-2</v>
      </c>
      <c r="H18" s="514">
        <f>IF(ISNUMBER(((NºAsuntos!G18/NºAsuntos!E18)-Datos!BD18)/Datos!BD18),((NºAsuntos!G18/NºAsuntos!E18)-Datos!BD18)/Datos!BD18," - ")</f>
        <v>-1.0735603445890786E-2</v>
      </c>
      <c r="I18" s="515">
        <f>IF(ISNUMBER(((NºAsuntos!I18/NºAsuntos!G18)-Datos!BE18)/Datos!BE18),((NºAsuntos!I18/NºAsuntos!G18)-Datos!BE18)/Datos!BE18," - ")</f>
        <v>-0.24293059125964006</v>
      </c>
      <c r="J18" s="521">
        <f>IF(ISNUMBER((('Resol  Asuntos'!D18/NºAsuntos!G18)-Datos!BF18)/Datos!BF18),(('Resol  Asuntos'!D18/NºAsuntos!G18)-Datos!BF18)/Datos!BF18," - ")</f>
        <v>-8.1480468879451845E-2</v>
      </c>
      <c r="K18" s="522">
        <f>IF(ISNUMBER((((NºAsuntos!C18+NºAsuntos!E18)/NºAsuntos!G18)-Datos!BG18)/Datos!BG18),(((NºAsuntos!C18+NºAsuntos!E18)/NºAsuntos!G18)-Datos!BG18)/Datos!BG18," - ")</f>
        <v>5.0648424167632747E-4</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-7.4263170109074034E-3</v>
      </c>
      <c r="C23" s="1152">
        <f>IF(ISNUMBER(
   IF(Criterios!B14="SI",(Datos!J23-Datos!T23)/Datos!T23,(Datos!J23+Datos!AD23-(Datos!T23+Datos!AL23))/(Datos!T23+Datos!AL23))
     ),IF(Criterios!B14="SI",(Datos!J23-Datos!T23)/Datos!T23,(Datos!J23+Datos!AD23-(Datos!T23+Datos!AL23))/(Datos!T23+Datos!AL23))," - ")</f>
        <v>4.8793718034819446E-2</v>
      </c>
      <c r="D23" s="1152">
        <f>IF(ISNUMBER(
   IF(Criterios!B14="SI",(Datos!K23-Datos!U23)/Datos!U23,(Datos!K23+Datos!AE23-(Datos!U23+Datos!AM23))/(Datos!U23+Datos!AM23))
     ),IF(Criterios!B14="SI",(Datos!K23-Datos!U23)/Datos!U23,(Datos!K23+Datos!AE23-(Datos!U23+Datos!AM23))/(Datos!U23+Datos!AM23))," - ")</f>
        <v>2.3758928800020482E-2</v>
      </c>
      <c r="E23" s="1152">
        <f>IF(ISNUMBER(
   IF(Criterios!B14="SI",(Datos!L23-Datos!V23)/Datos!V23,(Datos!L23+Datos!AF23-(Datos!V23+Datos!AN23))/(Datos!V23+Datos!AN23))
     ),IF(Criterios!B14="SI",(Datos!L23-Datos!V23)/Datos!V23,(Datos!L23+Datos!AF23-(Datos!V23+Datos!AN23))/(Datos!V23+Datos!AN23))," - ")</f>
        <v>0.19897124152443302</v>
      </c>
      <c r="F23" s="1153">
        <f>IF(ISNUMBER((Datos!M23-Datos!W23)/Datos!W23),(Datos!M23-Datos!W23)/Datos!W23," - ")</f>
        <v>-1.7936175168879572E-2</v>
      </c>
      <c r="G23" s="1154">
        <f>IF(ISNUMBER((Datos!N23-Datos!X23)/Datos!X23),(Datos!N23-Datos!X23)/Datos!X23," - ")</f>
        <v>4.0488669078024654E-2</v>
      </c>
      <c r="H23" s="1154">
        <f>IF(ISNUMBER(((NºAsuntos!G23/NºAsuntos!E23)-Datos!BD23)/Datos!BD23),((NºAsuntos!G23/NºAsuntos!E23)-Datos!BD23)/Datos!BD23," - ")</f>
        <v>-2.3870079315223093E-2</v>
      </c>
      <c r="I23" s="1154">
        <f>IF(ISNUMBER(((NºAsuntos!I23/NºAsuntos!G23)-Datos!BE23)/Datos!BE23),((NºAsuntos!I23/NºAsuntos!G23)-Datos!BE23)/Datos!BE23," - ")</f>
        <v>0.17114606553887077</v>
      </c>
      <c r="J23" s="1154">
        <f>IF(ISNUMBER((('Resol  Asuntos'!D23/NºAsuntos!G23)-Datos!BF23)/Datos!BF23),(('Resol  Asuntos'!D23/NºAsuntos!G23)-Datos!BF23)/Datos!BF23," - ")</f>
        <v>-4.072746307353059E-2</v>
      </c>
      <c r="K23" s="1154">
        <f>IF(ISNUMBER((((NºAsuntos!C23+NºAsuntos!E23)/NºAsuntos!G23)-Datos!BG23)/Datos!BG23),(((NºAsuntos!C23+NºAsuntos!E23)/NºAsuntos!G23)-Datos!BG23)/Datos!BG23," - ")</f>
        <v>1.8953710684652431E-2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-0.13756840352129432</v>
      </c>
      <c r="C31" s="1092">
        <f>IF(ISNUMBER(
   IF(J_V="SI",(Datos!J31-Datos!T31)/Datos!T31,(Datos!J31+Datos!Z31-(Datos!T31+Datos!AH31))/(Datos!T31+Datos!AH31))
     ),IF(J_V="SI",(Datos!J31-Datos!T31)/Datos!T31,(Datos!J31+Datos!Z31-(Datos!T31+Datos!AH31))/(Datos!T31+Datos!AH31))," - ")</f>
        <v>3.5692180730348667E-2</v>
      </c>
      <c r="D31" s="1092">
        <f>IF(ISNUMBER(
   IF(J_V="SI",(Datos!K31-Datos!U31)/Datos!U31,(Datos!K31+Datos!AA31-(Datos!U31+Datos!AI31))/(Datos!U31+Datos!AI31))
     ),IF(J_V="SI",(Datos!K31-Datos!U31)/Datos!U31,(Datos!K31+Datos!AA31-(Datos!U31+Datos!AI31))/(Datos!U31+Datos!AI31))," - ")</f>
        <v>-2.5510919234111745E-3</v>
      </c>
      <c r="E31" s="1092">
        <f>IF(ISNUMBER(
   IF(J_V="SI",(Datos!L31-Datos!V31)/Datos!V31,(Datos!L31+Datos!AB31-(Datos!V31+Datos!AJ31))/(Datos!V31+Datos!AJ31))
     ),IF(J_V="SI",(Datos!L31-Datos!V31)/Datos!V31,(Datos!L31+Datos!AB31-(Datos!V31+Datos!AJ31))/(Datos!V31+Datos!AJ31))," - ")</f>
        <v>2.5491061575811078E-2</v>
      </c>
      <c r="F31" s="1093">
        <f>IF(ISNUMBER((Datos!M31-Datos!W31)/Datos!W31),(Datos!M31-Datos!W31)/Datos!W31," - ")</f>
        <v>-4.3932076647452876E-2</v>
      </c>
      <c r="G31" s="1094">
        <f>IF(ISNUMBER((Datos!N31-Datos!X31)/Datos!X31),(Datos!N31-Datos!X31)/Datos!X31," - ")</f>
        <v>3.3756565193003928E-2</v>
      </c>
      <c r="H31" s="1095">
        <f>IF(ISNUMBER((Tasas!B31-Datos!BD31)/Datos!BD31),(Tasas!B31-Datos!BD31)/Datos!BD31," - ")</f>
        <v>-3.6925327201747953E-2</v>
      </c>
      <c r="I31" s="1096">
        <f>IF(ISNUMBER((Tasas!C31-Datos!BE31)/Datos!BE31),(Tasas!C31-Datos!BE31)/Datos!BE31," - ")</f>
        <v>2.8113874577592849E-2</v>
      </c>
      <c r="J31" s="1097">
        <f>IF(ISNUMBER((Tasas!D31-Datos!BF31)/Datos!BF31),(Tasas!D31-Datos!BF31)/Datos!BF31," - ")</f>
        <v>-0.25012844688472291</v>
      </c>
      <c r="K31" s="1097">
        <f>IF(ISNUMBER((Tasas!E31-Datos!BG31)/Datos!BG31),(Tasas!E31-Datos!BG31)/Datos!BG31," - ")</f>
        <v>-2.7330736971257221E-3</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m3ZQKj8xwaoJU2LsCr2HXrMYfkIJEO3L/P2qYKwFI3nAjbiHCUC4fR+/Z2alE0LzvHpJklH9qWZgPotFCxhAFw==" saltValue="jdWp5JBQ0/hiyJmr7MPoi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GRANADA</v>
      </c>
    </row>
    <row r="4" spans="1:7" ht="11.25" customHeight="1" thickBot="1">
      <c r="B4" s="439" t="str">
        <f>Criterios!A11 &amp;"  "&amp;Criterios!B11</f>
        <v>Resumenes por Partidos Judiciales  GRANADA</v>
      </c>
    </row>
    <row r="5" spans="1:7" ht="12.75" customHeight="1">
      <c r="A5" s="1591" t="str">
        <f>"Año:  " &amp;Criterios!B5 &amp; "    Trimestre   " &amp;Criterios!D5 &amp; " al " &amp;Criterios!D6</f>
        <v>Año:  2022    Trimestre   1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1.059024315409987</v>
      </c>
      <c r="C9" s="498">
        <f>IF(ISNUMBER(NºAsuntos!I9/NºAsuntos!G9),NºAsuntos!I9/NºAsuntos!G9," - ")</f>
        <v>0.4363162278636874</v>
      </c>
      <c r="D9" s="499">
        <f>IF(ISNUMBER('Resol  Asuntos'!D9/NºAsuntos!G9),'Resol  Asuntos'!D9/NºAsuntos!G9," - ")</f>
        <v>0.23459964509470177</v>
      </c>
      <c r="E9" s="500">
        <f>IF(ISNUMBER((NºAsuntos!C9+NºAsuntos!E9)/NºAsuntos!G9),(NºAsuntos!C9+NºAsuntos!E9)/NºAsuntos!G9," - ")</f>
        <v>1.3961902002679898</v>
      </c>
      <c r="G9" s="523"/>
    </row>
    <row r="10" spans="1:7">
      <c r="A10" s="450" t="str">
        <f>Datos!A10</f>
        <v>Jdos. Violencia contra la mujer</v>
      </c>
      <c r="B10" s="497">
        <f>IF(ISNUMBER(NºAsuntos!G10/NºAsuntos!E10),NºAsuntos!G10/NºAsuntos!E10," - ")</f>
        <v>0.86560364464692485</v>
      </c>
      <c r="C10" s="498">
        <f>IF(ISNUMBER(NºAsuntos!I10/NºAsuntos!G10),NºAsuntos!I10/NºAsuntos!G10," - ")</f>
        <v>0.70526315789473681</v>
      </c>
      <c r="D10" s="499">
        <f>IF(ISNUMBER('Resol  Asuntos'!D10/NºAsuntos!G10),'Resol  Asuntos'!D10/NºAsuntos!G10," - ")</f>
        <v>0.41315789473684211</v>
      </c>
      <c r="E10" s="500">
        <f>IF(ISNUMBER((NºAsuntos!C10+NºAsuntos!E10)/NºAsuntos!G10),(NºAsuntos!C10+NºAsuntos!E10)/NºAsuntos!G10," - ")</f>
        <v>1.7052631578947368</v>
      </c>
      <c r="G10" s="523"/>
    </row>
    <row r="11" spans="1:7">
      <c r="A11" s="450" t="str">
        <f>Datos!A11</f>
        <v xml:space="preserve">Jdos. Familia                                   </v>
      </c>
      <c r="B11" s="497">
        <f>IF(ISNUMBER(NºAsuntos!G11/NºAsuntos!E11),NºAsuntos!G11/NºAsuntos!E11," - ")</f>
        <v>1.0050568900126422</v>
      </c>
      <c r="C11" s="498">
        <f>IF(ISNUMBER(NºAsuntos!I11/NºAsuntos!G11),NºAsuntos!I11/NºAsuntos!G11," - ")</f>
        <v>0.35911949685534589</v>
      </c>
      <c r="D11" s="499">
        <f>IF(ISNUMBER('Resol  Asuntos'!D11/NºAsuntos!G11),'Resol  Asuntos'!D11/NºAsuntos!G11," - ")</f>
        <v>0.44748427672955976</v>
      </c>
      <c r="E11" s="500">
        <f>IF(ISNUMBER((NºAsuntos!C11+NºAsuntos!E11)/NºAsuntos!G11),(NºAsuntos!C11+NºAsuntos!E11)/NºAsuntos!G11," - ")</f>
        <v>1.3594339622641509</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1.0504094079590256</v>
      </c>
      <c r="C14" s="1156">
        <f>IF(ISNUMBER(NºAsuntos!I14/NºAsuntos!G14),NºAsuntos!I14/NºAsuntos!G14," - ")</f>
        <v>0.43171975748243674</v>
      </c>
      <c r="D14" s="1157">
        <f>IF(ISNUMBER('Resol  Asuntos'!D14/NºAsuntos!G14),'Resol  Asuntos'!D14/NºAsuntos!G14," - ")</f>
        <v>0.25849292657107115</v>
      </c>
      <c r="E14" s="1158">
        <f>IF(ISNUMBER((NºAsuntos!C14+NºAsuntos!E14)/NºAsuntos!G14),(NºAsuntos!C14+NºAsuntos!E14)/NºAsuntos!G14," - ")</f>
        <v>1.3962082571456067</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0.984225697966156</v>
      </c>
      <c r="C16" s="498">
        <f>IF(ISNUMBER(NºAsuntos!I16/NºAsuntos!G16),NºAsuntos!I16/NºAsuntos!G16," - ")</f>
        <v>0.12897627118644067</v>
      </c>
      <c r="D16" s="499">
        <f>IF(ISNUMBER('Resol  Asuntos'!D16/NºAsuntos!G16),'Resol  Asuntos'!D16/NºAsuntos!G16," - ")</f>
        <v>9.9661016949152539E-2</v>
      </c>
      <c r="E16" s="500">
        <f>IF(ISNUMBER((NºAsuntos!C16+NºAsuntos!E16)/NºAsuntos!G16),(NºAsuntos!C16+NºAsuntos!E16)/NºAsuntos!G16," - ")</f>
        <v>1.119728813559322</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0.99203060248645203</v>
      </c>
      <c r="C18" s="498">
        <f>IF(ISNUMBER(NºAsuntos!I18/NºAsuntos!G18),NºAsuntos!I18/NºAsuntos!G18," - ")</f>
        <v>0.11953727506426735</v>
      </c>
      <c r="D18" s="499">
        <f>IF(ISNUMBER('Resol  Asuntos'!D18/NºAsuntos!G18),'Resol  Asuntos'!D18/NºAsuntos!G18," - ")</f>
        <v>0.17384318766066839</v>
      </c>
      <c r="E18" s="500">
        <f>IF(ISNUMBER((NºAsuntos!C18+NºAsuntos!E18)/NºAsuntos!G18),(NºAsuntos!C18+NºAsuntos!E18)/NºAsuntos!G18," - ")</f>
        <v>1.1535989717223651</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0.98482870723838145</v>
      </c>
      <c r="C23" s="1156">
        <f>IF(ISNUMBER(NºAsuntos!I23/NºAsuntos!G23),NºAsuntos!I23/NºAsuntos!G23," - ")</f>
        <v>0.12824167854552729</v>
      </c>
      <c r="D23" s="1159">
        <f>IF(ISNUMBER('Resol  Asuntos'!D23/NºAsuntos!G23),'Resol  Asuntos'!D23/NºAsuntos!G23," - ")</f>
        <v>0.10543426613649436</v>
      </c>
      <c r="E23" s="1158">
        <f>IF(ISNUMBER((NºAsuntos!C23+NºAsuntos!E23)/NºAsuntos!G23),(NºAsuntos!C23+NºAsuntos!E23)/NºAsuntos!G23," - ")</f>
        <v>1.1223647685497786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1.012521343198634</v>
      </c>
      <c r="C31" s="1099">
        <f>IF(ISNUMBER(NºAsuntos!I31/NºAsuntos!G31),NºAsuntos!I31/NºAsuntos!G31," - ")</f>
        <v>0.26118605958403596</v>
      </c>
      <c r="D31" s="1100">
        <f>IF(ISNUMBER('Resol  Asuntos'!D31/NºAsuntos!G31),'Resol  Asuntos'!D31/NºAsuntos!G31," - ")</f>
        <v>0.17248454187745924</v>
      </c>
      <c r="E31" s="1101">
        <f>IF(ISNUMBER((NºAsuntos!C31+NºAsuntos!E31)/NºAsuntos!G31),(NºAsuntos!C31+NºAsuntos!E31)/NºAsuntos!G31," - ")</f>
        <v>1.2423271500843169</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SsvO7VFCsprsWo+lhamZxyzHjmProOAdJ73kF3w8lnyk9ljmXJyGwpWn5LvsAYTy16KdzSMq4gIivO/kcL4Kyw==" saltValue="C0Rn08jKDb35XwcNdYf+n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GRANADA</v>
      </c>
      <c r="N2" s="368" t="str">
        <f>Criterios!A11 &amp;"  "&amp;Criterios!B11</f>
        <v>Resumenes por Partidos Judiciales  GRANADA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16</v>
      </c>
      <c r="B9" s="190" t="s">
        <v>321</v>
      </c>
      <c r="C9" s="173" t="str">
        <f>Datos!A9</f>
        <v xml:space="preserve">Jdos. 1ª Instancia   </v>
      </c>
      <c r="D9" s="173"/>
      <c r="E9" s="1402">
        <f>IF(ISNUMBER(Datos!AQ9),Datos!AQ9," - ")</f>
        <v>16</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6051</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10212</v>
      </c>
      <c r="Y9" s="374">
        <f>SUM(W9:X9)</f>
        <v>10212</v>
      </c>
      <c r="Z9" s="375" t="str">
        <f>IF(ISNUMBER(Datos!CC9),Datos!CC9," - ")</f>
        <v xml:space="preserve"> - </v>
      </c>
      <c r="AA9" s="372" t="str">
        <f>IF(ISNUMBER(IF(J_V="SI",Datos!L9,Datos!L9+Datos!AB9)-IF(Monitorios="SI",Datos!CD9,0)),
                          IF(J_V="SI",Datos!L9,Datos!L9+Datos!AB9)-IF(Monitorios="SI",Datos!CD9,0),
                          " - ")</f>
        <v xml:space="preserve"> - </v>
      </c>
      <c r="AB9" s="374">
        <f>IF(ISNUMBER(Datos!R9),Datos!R9," - ")</f>
        <v>21109</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6478</v>
      </c>
      <c r="AJ9" s="243" t="str">
        <f>IF(ISNUMBER(Datos!BW9),Datos!BW9," - ")</f>
        <v xml:space="preserve"> - </v>
      </c>
      <c r="AK9" s="242" t="str">
        <f>IF(ISNUMBER(Datos!BX9),Datos!BX9," - ")</f>
        <v xml:space="preserve"> - </v>
      </c>
      <c r="AL9" s="266">
        <f>IF(ISNUMBER(NºAsuntos!G9/NºAsuntos!E9),NºAsuntos!G9/NºAsuntos!E9," - ")</f>
        <v>1.059024315409987</v>
      </c>
      <c r="AM9" s="284">
        <f>IF(ISNUMBER(((NºAsuntos!I9/NºAsuntos!G9)*11)/factor_trimestre),((NºAsuntos!I9/NºAsuntos!G9)*11)/factor_trimestre," - ")</f>
        <v>4.7994785065005612</v>
      </c>
      <c r="AN9" s="267">
        <f>IF(ISNUMBER('Resol  Asuntos'!D9/NºAsuntos!G9),'Resol  Asuntos'!D9/NºAsuntos!G9," - ")</f>
        <v>0.23459964509470177</v>
      </c>
      <c r="AO9" s="268">
        <f>IF(ISNUMBER((NºAsuntos!C9+NºAsuntos!E9)/NºAsuntos!G9),(NºAsuntos!C9+NºAsuntos!E9)/NºAsuntos!G9," - ")</f>
        <v>1.3961902002679898</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2</v>
      </c>
      <c r="B10" s="300" t="s">
        <v>321</v>
      </c>
      <c r="C10" s="7" t="str">
        <f>Datos!A10</f>
        <v>Jdos. Violencia contra la mujer</v>
      </c>
      <c r="D10" s="7"/>
      <c r="E10" s="1402">
        <f>IF(ISNUMBER(Datos!AQ10),Datos!AQ10," - ")</f>
        <v>2</v>
      </c>
      <c r="F10" s="239">
        <f>IF(ISNUMBER(Datos!L10+Datos!K10-Datos!J10-K10),Datos!L10+Datos!K10-Datos!J10-K10," - ")</f>
        <v>209</v>
      </c>
      <c r="G10" s="373">
        <f>IF(ISNUMBER(Datos!I10),Datos!I10," - ")</f>
        <v>209</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120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380</v>
      </c>
      <c r="X10" s="240">
        <f>IF(ISNUMBER(Datos!Q10),Datos!Q10," - ")</f>
        <v>103</v>
      </c>
      <c r="Y10" s="374">
        <f t="shared" ref="Y10:Y13" si="0">SUM(W10:X10)</f>
        <v>483</v>
      </c>
      <c r="Z10" s="375" t="str">
        <f>IF(ISNUMBER(Datos!CC10),Datos!CC10," - ")</f>
        <v xml:space="preserve"> - </v>
      </c>
      <c r="AA10" s="372">
        <f>IF(ISNUMBER(Datos!L10),Datos!L10,"-")</f>
        <v>268</v>
      </c>
      <c r="AB10" s="374">
        <f>IF(ISNUMBER(Datos!R10),Datos!R10," - ")</f>
        <v>229</v>
      </c>
      <c r="AC10" s="374">
        <f t="shared" ref="AC10:AC13" si="1">IF(ISNUMBER(AA10+AB10),AA10+AB10," - ")</f>
        <v>497</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157</v>
      </c>
      <c r="AJ10" s="245" t="str">
        <f>IF(ISNUMBER(Datos!BW10),Datos!BW10," - ")</f>
        <v xml:space="preserve"> - </v>
      </c>
      <c r="AK10" s="246" t="str">
        <f>IF(ISNUMBER(Datos!BX10),Datos!BX10," - ")</f>
        <v xml:space="preserve"> - </v>
      </c>
      <c r="AL10" s="266">
        <f>IF(ISNUMBER(NºAsuntos!G10/NºAsuntos!E10),NºAsuntos!G10/NºAsuntos!E10," - ")</f>
        <v>0.86560364464692485</v>
      </c>
      <c r="AM10" s="284">
        <f>IF(ISNUMBER(((NºAsuntos!I10/NºAsuntos!G10)*11)/factor_trimestre),((NºAsuntos!I10/NºAsuntos!G10)*11)/factor_trimestre," - ")</f>
        <v>7.757894736842105</v>
      </c>
      <c r="AN10" s="267">
        <f>IF(ISNUMBER('Resol  Asuntos'!D10/NºAsuntos!G10),'Resol  Asuntos'!D10/NºAsuntos!G10," - ")</f>
        <v>0.41315789473684211</v>
      </c>
      <c r="AO10" s="268">
        <f>IF(ISNUMBER((NºAsuntos!C10+NºAsuntos!E10)/NºAsuntos!G10),(NºAsuntos!C10+NºAsuntos!E10)/NºAsuntos!G10," - ")</f>
        <v>1.7052631578947368</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3</v>
      </c>
      <c r="B11" s="300" t="s">
        <v>321</v>
      </c>
      <c r="C11" s="7" t="str">
        <f>Datos!A11</f>
        <v xml:space="preserve">Jdos. Familia                                   </v>
      </c>
      <c r="D11" s="7"/>
      <c r="E11" s="1402">
        <f>IF(ISNUMBER(Datos!AQ11),Datos!AQ11," - ")</f>
        <v>3</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523</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f>IF(ISNUMBER(Datos!Q11),Datos!Q11," - ")</f>
        <v>676</v>
      </c>
      <c r="Y11" s="374">
        <f t="shared" si="0"/>
        <v>676</v>
      </c>
      <c r="Z11" s="375" t="str">
        <f>IF(ISNUMBER(Datos!CC11),Datos!CC11," - ")</f>
        <v xml:space="preserve"> - </v>
      </c>
      <c r="AA11" s="372" t="str">
        <f>IF(ISNUMBER(IF(J_V="SI",Datos!L11,Datos!L11+Datos!AB11)-IF(Monitorios="SI",Datos!CD11,0)),
                          IF(J_V="SI",Datos!L11,Datos!L11+Datos!AB11)-IF(Monitorios="SI",Datos!CD11,0),
                          " - ")</f>
        <v xml:space="preserve"> - </v>
      </c>
      <c r="AB11" s="374">
        <f>IF(ISNUMBER(Datos!R11),Datos!R11," - ")</f>
        <v>1233</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f>IF(ISNUMBER(Datos!M11),Datos!M11," - ")</f>
        <v>1423</v>
      </c>
      <c r="AJ11" s="245" t="str">
        <f>IF(ISNUMBER(Datos!BW11),Datos!BW11," - ")</f>
        <v xml:space="preserve"> - </v>
      </c>
      <c r="AK11" s="246" t="str">
        <f>IF(ISNUMBER(Datos!BX11),Datos!BX11," - ")</f>
        <v xml:space="preserve"> - </v>
      </c>
      <c r="AL11" s="266">
        <f>IF(ISNUMBER(NºAsuntos!G11/NºAsuntos!E11),NºAsuntos!G11/NºAsuntos!E11," - ")</f>
        <v>1.0050568900126422</v>
      </c>
      <c r="AM11" s="284">
        <f>IF(ISNUMBER(((NºAsuntos!I11/NºAsuntos!G11)*11)/factor_trimestre),((NºAsuntos!I11/NºAsuntos!G11)*11)/factor_trimestre," - ")</f>
        <v>3.9503144654088049</v>
      </c>
      <c r="AN11" s="267">
        <f>IF(ISNUMBER('Resol  Asuntos'!D11/NºAsuntos!G11),'Resol  Asuntos'!D11/NºAsuntos!G11," - ")</f>
        <v>0.44748427672955976</v>
      </c>
      <c r="AO11" s="268">
        <f>IF(ISNUMBER((NºAsuntos!C11+NºAsuntos!E11)/NºAsuntos!G11),(NºAsuntos!C11+NºAsuntos!E11)/NºAsuntos!G11," - ")</f>
        <v>1.3594339622641509</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321</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t="str">
        <f>IF(ISNUMBER(Datos!Q12),Datos!Q12," - ")</f>
        <v xml:space="preserve"> - </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t="str">
        <f>IF(ISNUMBER(Datos!R12),Datos!R12," - ")</f>
        <v xml:space="preserve"> - </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t="str">
        <f>IF(ISNUMBER(Datos!M12),Datos!M12," - ")</f>
        <v xml:space="preserve"> - </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21</v>
      </c>
      <c r="F14" s="1162">
        <f t="shared" si="5"/>
        <v>209</v>
      </c>
      <c r="G14" s="1163">
        <f t="shared" si="5"/>
        <v>209</v>
      </c>
      <c r="H14" s="1162">
        <f t="shared" si="5"/>
        <v>0</v>
      </c>
      <c r="I14" s="1164">
        <f t="shared" si="5"/>
        <v>0</v>
      </c>
      <c r="J14" s="1164">
        <f t="shared" si="5"/>
        <v>0</v>
      </c>
      <c r="K14" s="1164">
        <f t="shared" si="5"/>
        <v>0</v>
      </c>
      <c r="L14" s="1164">
        <f t="shared" si="5"/>
        <v>6694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380</v>
      </c>
      <c r="X14" s="1164">
        <f t="shared" si="6"/>
        <v>10991</v>
      </c>
      <c r="Y14" s="1165">
        <f t="shared" si="6"/>
        <v>11371</v>
      </c>
      <c r="Z14" s="1165">
        <f t="shared" si="6"/>
        <v>0</v>
      </c>
      <c r="AA14" s="1165">
        <f t="shared" si="6"/>
        <v>268</v>
      </c>
      <c r="AB14" s="1165">
        <f t="shared" si="6"/>
        <v>22571</v>
      </c>
      <c r="AC14" s="1165">
        <f t="shared" si="6"/>
        <v>497</v>
      </c>
      <c r="AD14" s="1165">
        <f t="shared" si="6"/>
        <v>0</v>
      </c>
      <c r="AE14" s="1169">
        <f t="shared" si="6"/>
        <v>0</v>
      </c>
      <c r="AF14" s="1162">
        <f t="shared" si="6"/>
        <v>0</v>
      </c>
      <c r="AG14" s="1170">
        <f t="shared" si="6"/>
        <v>0</v>
      </c>
      <c r="AH14" s="1167">
        <f t="shared" si="6"/>
        <v>0</v>
      </c>
      <c r="AI14" s="1162">
        <f t="shared" si="6"/>
        <v>8058</v>
      </c>
      <c r="AJ14" s="1164">
        <f t="shared" si="6"/>
        <v>0</v>
      </c>
      <c r="AK14" s="1167">
        <f>SUBTOTAL(9,AK9:AK13)</f>
        <v>0</v>
      </c>
      <c r="AL14" s="1171">
        <f>IF(ISNUMBER(NºAsuntos!G14/NºAsuntos!E14),NºAsuntos!G14/NºAsuntos!E14," - ")</f>
        <v>1.0504094079590256</v>
      </c>
      <c r="AM14" s="1171">
        <f>IF(ISNUMBER(((NºAsuntos!I14/NºAsuntos!G14)*11)/factor_trimestre),((NºAsuntos!I14/NºAsuntos!G14)*11)/factor_trimestre," - ")</f>
        <v>4.7489173323068039</v>
      </c>
      <c r="AN14" s="1172">
        <f>IF(ISNUMBER('Resol  Asuntos'!D14/NºAsuntos!G14),'Resol  Asuntos'!D14/NºAsuntos!G14," - ")</f>
        <v>0.25849292657107115</v>
      </c>
      <c r="AO14" s="1173">
        <f>IF(ISNUMBER((NºAsuntos!C14+NºAsuntos!E14)/NºAsuntos!G14),(NºAsuntos!C14+NºAsuntos!E14)/NºAsuntos!G14," - ")</f>
        <v>1.3962082571456067</v>
      </c>
      <c r="AP14" s="1174" t="str">
        <f t="shared" si="2"/>
        <v xml:space="preserve"> - </v>
      </c>
      <c r="AQ14" s="1174">
        <f>IF(ISNUMBER((H14-W14+K14)/(F14)),(H14-W14+K14)/(F14)," - ")</f>
        <v>-1.8181818181818181</v>
      </c>
      <c r="AR14" s="1175">
        <f>IF(ISNUMBER((Datos!P14-Datos!Q14)/(Datos!R14-Datos!P14+Datos!Q14)),(Datos!P14-Datos!Q14)/(Datos!R14-Datos!P14+Datos!Q14)," - ")</f>
        <v>-0.1599300282864374</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9</v>
      </c>
      <c r="B16" s="300" t="s">
        <v>511</v>
      </c>
      <c r="C16" s="173" t="str">
        <f>Datos!A16</f>
        <v xml:space="preserve">Jdos. Instrucción                               </v>
      </c>
      <c r="D16" s="173"/>
      <c r="E16" s="1402">
        <f>IF(ISNUMBER(Datos!AQ16),Datos!AQ16," - ")</f>
        <v>9</v>
      </c>
      <c r="F16" s="239">
        <f>IF(ISNUMBER(AA16+W16-Datos!J16-K16),AA16+W16-Datos!J16-K16," - ")</f>
        <v>4165</v>
      </c>
      <c r="G16" s="373">
        <f>IF(ISNUMBER(IF(D_I="SI",Datos!I16,Datos!I16+Datos!AC16)),IF(D_I="SI",Datos!I16,Datos!I16+Datos!AC16)," - ")</f>
        <v>3824</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1671</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36875</v>
      </c>
      <c r="X16" s="240">
        <f>IF(ISNUMBER(Datos!Q16),Datos!Q16," - ")</f>
        <v>1573</v>
      </c>
      <c r="Y16" s="374">
        <f>SUM(W16)</f>
        <v>36875</v>
      </c>
      <c r="Z16" s="375" t="str">
        <f>IF(ISNUMBER(Datos!CC16),Datos!CC16," - ")</f>
        <v xml:space="preserve"> - </v>
      </c>
      <c r="AA16" s="372">
        <f>IF(ISNUMBER(IF(D_I="SI",Datos!L16,Datos!L16+Datos!AF16)),IF(D_I="SI",Datos!L16,Datos!L16+Datos!AF16)," - ")</f>
        <v>4756</v>
      </c>
      <c r="AB16" s="374">
        <f>IF(ISNUMBER(Datos!R16),Datos!R16," - ")</f>
        <v>846</v>
      </c>
      <c r="AC16" s="374">
        <f t="shared" ref="AC16:AC22" si="8">IF(ISNUMBER(AA16+AB16),AA16+AB16," - ")</f>
        <v>5602</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3675</v>
      </c>
      <c r="AJ16" s="245" t="str">
        <f>IF(ISNUMBER(Datos!BW16),Datos!BW16," - ")</f>
        <v xml:space="preserve"> - </v>
      </c>
      <c r="AK16" s="246" t="str">
        <f>IF(ISNUMBER(Datos!BX16),Datos!BX16," - ")</f>
        <v xml:space="preserve"> - </v>
      </c>
      <c r="AL16" s="266">
        <f>IF(ISNUMBER(NºAsuntos!G16/NºAsuntos!E16),NºAsuntos!G16/NºAsuntos!E16," - ")</f>
        <v>0.984225697966156</v>
      </c>
      <c r="AM16" s="284">
        <f>IF(ISNUMBER(((NºAsuntos!I16/NºAsuntos!G16)*11)/factor_trimestre),((NºAsuntos!I16/NºAsuntos!G16)*11)/factor_trimestre," - ")</f>
        <v>1.4187389830508474</v>
      </c>
      <c r="AN16" s="267">
        <f>IF(ISNUMBER('Resol  Asuntos'!D16/NºAsuntos!G16),'Resol  Asuntos'!D16/NºAsuntos!G16," - ")</f>
        <v>9.9661016949152539E-2</v>
      </c>
      <c r="AO16" s="268">
        <f>IF(ISNUMBER((NºAsuntos!C16+NºAsuntos!E16)/NºAsuntos!G16),(NºAsuntos!C16+NºAsuntos!E16)/NºAsuntos!G16," - ")</f>
        <v>1.119728813559322</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511</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2</v>
      </c>
      <c r="B18" s="300" t="s">
        <v>511</v>
      </c>
      <c r="C18" s="7" t="str">
        <f>Datos!A18</f>
        <v>Jdos. Violencia contra la mujer</v>
      </c>
      <c r="D18" s="7"/>
      <c r="E18" s="1402">
        <f>IF(ISNUMBER(Datos!AQ18),Datos!AQ18," - ")</f>
        <v>2</v>
      </c>
      <c r="F18" s="239" t="str">
        <f>IF(ISNUMBER(AA18+W18-H18-K18),AA18+W18-H18-K18," - ")</f>
        <v xml:space="preserve"> - </v>
      </c>
      <c r="G18" s="373">
        <f>IF(ISNUMBER(IF(D_I="SI",Datos!I18,Datos!I18+Datos!AC18)),IF(D_I="SI",Datos!I18,Datos!I18+Datos!AC18)," - ")</f>
        <v>453</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208</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3112</v>
      </c>
      <c r="X18" s="240">
        <f>IF(ISNUMBER(Datos!Q18),Datos!Q18," - ")</f>
        <v>265</v>
      </c>
      <c r="Y18" s="374">
        <f t="shared" si="9"/>
        <v>3377</v>
      </c>
      <c r="Z18" s="375" t="str">
        <f>IF(ISNUMBER(Datos!CC18),Datos!CC18," - ")</f>
        <v xml:space="preserve"> - </v>
      </c>
      <c r="AA18" s="372">
        <f>IF(ISNUMBER(Datos!L18),Datos!L18,"-")</f>
        <v>372</v>
      </c>
      <c r="AB18" s="374">
        <f>IF(ISNUMBER(Datos!R18),Datos!R18," - ")</f>
        <v>99</v>
      </c>
      <c r="AC18" s="374">
        <f t="shared" si="8"/>
        <v>471</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541</v>
      </c>
      <c r="AJ18" s="245" t="str">
        <f>IF(ISNUMBER(Datos!BW18),Datos!BW18," - ")</f>
        <v xml:space="preserve"> - </v>
      </c>
      <c r="AK18" s="246" t="str">
        <f>IF(ISNUMBER(Datos!BX18),Datos!BX18," - ")</f>
        <v xml:space="preserve"> - </v>
      </c>
      <c r="AL18" s="266">
        <f>IF(ISNUMBER(NºAsuntos!G18/NºAsuntos!E18),NºAsuntos!G18/NºAsuntos!E18," - ")</f>
        <v>0.99203060248645203</v>
      </c>
      <c r="AM18" s="284">
        <f>IF(ISNUMBER(((NºAsuntos!I18/NºAsuntos!G18)*11)/factor_trimestre),((NºAsuntos!I18/NºAsuntos!G18)*11)/factor_trimestre," - ")</f>
        <v>1.3149100257069408</v>
      </c>
      <c r="AN18" s="267">
        <f>IF(ISNUMBER('Resol  Asuntos'!D18/NºAsuntos!G18),'Resol  Asuntos'!D18/NºAsuntos!G18," - ")</f>
        <v>0.17384318766066839</v>
      </c>
      <c r="AO18" s="268">
        <f>IF(ISNUMBER((NºAsuntos!C18+NºAsuntos!E18)/NºAsuntos!G18),(NºAsuntos!C18+NºAsuntos!E18)/NºAsuntos!G18," - ")</f>
        <v>1.1535989717223651</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11</v>
      </c>
      <c r="F23" s="1162">
        <f>SUBTOTAL(9,F15:F22)</f>
        <v>4165</v>
      </c>
      <c r="G23" s="1163">
        <f>SUBTOTAL(9,G16:G22)</f>
        <v>4277</v>
      </c>
      <c r="H23" s="1162">
        <f t="shared" ref="H23:O23" si="13">SUBTOTAL(9,H15:H22)</f>
        <v>0</v>
      </c>
      <c r="I23" s="1164">
        <f t="shared" si="13"/>
        <v>0</v>
      </c>
      <c r="J23" s="1164">
        <f t="shared" si="13"/>
        <v>0</v>
      </c>
      <c r="K23" s="1164">
        <f t="shared" si="13"/>
        <v>0</v>
      </c>
      <c r="L23" s="1164">
        <f t="shared" si="13"/>
        <v>1879</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39987</v>
      </c>
      <c r="X23" s="1164">
        <f t="shared" si="14"/>
        <v>1838</v>
      </c>
      <c r="Y23" s="1165">
        <f t="shared" si="14"/>
        <v>40252</v>
      </c>
      <c r="Z23" s="1165">
        <f t="shared" si="14"/>
        <v>0</v>
      </c>
      <c r="AA23" s="1165">
        <f t="shared" si="14"/>
        <v>5128</v>
      </c>
      <c r="AB23" s="1165">
        <f t="shared" si="14"/>
        <v>945</v>
      </c>
      <c r="AC23" s="1165">
        <f t="shared" si="14"/>
        <v>6073</v>
      </c>
      <c r="AD23" s="1165">
        <f t="shared" si="14"/>
        <v>0</v>
      </c>
      <c r="AE23" s="1169">
        <f t="shared" si="14"/>
        <v>0</v>
      </c>
      <c r="AF23" s="1162">
        <f t="shared" si="14"/>
        <v>0</v>
      </c>
      <c r="AG23" s="1170">
        <f t="shared" si="14"/>
        <v>0</v>
      </c>
      <c r="AH23" s="1167">
        <f t="shared" si="14"/>
        <v>0</v>
      </c>
      <c r="AI23" s="1162">
        <f t="shared" si="14"/>
        <v>4216</v>
      </c>
      <c r="AJ23" s="1164">
        <f t="shared" si="14"/>
        <v>0</v>
      </c>
      <c r="AK23" s="1167">
        <f t="shared" si="14"/>
        <v>0</v>
      </c>
      <c r="AL23" s="1171">
        <f>IF(ISNUMBER(NºAsuntos!G23/NºAsuntos!E23),NºAsuntos!G23/NºAsuntos!E23," - ")</f>
        <v>0.98482870723838145</v>
      </c>
      <c r="AM23" s="1171">
        <f>IF(ISNUMBER(((NºAsuntos!I23/NºAsuntos!G23)*11)/factor_trimestre),((NºAsuntos!I23/NºAsuntos!G23)*11)/factor_trimestre," - ")</f>
        <v>1.4106584640008002</v>
      </c>
      <c r="AN23" s="1172">
        <f>IF(ISNUMBER('Resol  Asuntos'!D23/NºAsuntos!G23),'Resol  Asuntos'!D23/NºAsuntos!G23," - ")</f>
        <v>0.10543426613649436</v>
      </c>
      <c r="AO23" s="1173">
        <f>IF(ISNUMBER((NºAsuntos!C23+NºAsuntos!E23)/NºAsuntos!G23),(NºAsuntos!C23+NºAsuntos!E23)/NºAsuntos!G23," - ")</f>
        <v>1.1223647685497786</v>
      </c>
      <c r="AP23" s="1174" t="str">
        <f t="shared" si="2"/>
        <v xml:space="preserve"> - </v>
      </c>
      <c r="AQ23" s="1174">
        <f>IF(ISNUMBER((H23-W23+K23)/(F23)),(H23-W23+K23)/(F23)," - ")</f>
        <v>-9.6007202881152462</v>
      </c>
      <c r="AR23" s="1175">
        <f>IF(ISNUMBER((Datos!P23-Datos!Q23)/(Datos!R23-Datos!P23+Datos!Q23)),(Datos!P23-Datos!Q23)/(Datos!R23-Datos!P23+Datos!Q23)," - ")</f>
        <v>4.5353982300884957E-2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32</v>
      </c>
      <c r="F31" s="1117">
        <f t="shared" si="20"/>
        <v>4374</v>
      </c>
      <c r="G31" s="1118">
        <f t="shared" si="20"/>
        <v>4486</v>
      </c>
      <c r="H31" s="1117">
        <f t="shared" si="20"/>
        <v>0</v>
      </c>
      <c r="I31" s="1119">
        <f t="shared" si="20"/>
        <v>0</v>
      </c>
      <c r="J31" s="1119">
        <f t="shared" si="20"/>
        <v>0</v>
      </c>
      <c r="K31" s="1180">
        <f t="shared" si="20"/>
        <v>0</v>
      </c>
      <c r="L31" s="1119">
        <f t="shared" si="20"/>
        <v>8573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40367</v>
      </c>
      <c r="X31" s="1118">
        <f t="shared" si="21"/>
        <v>12829</v>
      </c>
      <c r="Y31" s="1125">
        <f t="shared" si="21"/>
        <v>51623</v>
      </c>
      <c r="Z31" s="1125">
        <f t="shared" si="21"/>
        <v>0</v>
      </c>
      <c r="AA31" s="1125">
        <f t="shared" si="21"/>
        <v>5396</v>
      </c>
      <c r="AB31" s="1125">
        <f t="shared" si="21"/>
        <v>23516</v>
      </c>
      <c r="AC31" s="1125">
        <f t="shared" si="21"/>
        <v>6570</v>
      </c>
      <c r="AD31" s="1125">
        <f t="shared" si="21"/>
        <v>0</v>
      </c>
      <c r="AE31" s="1127">
        <f t="shared" si="21"/>
        <v>0</v>
      </c>
      <c r="AF31" s="1128">
        <f t="shared" si="21"/>
        <v>0</v>
      </c>
      <c r="AG31" s="1129">
        <f t="shared" si="21"/>
        <v>0</v>
      </c>
      <c r="AH31" s="1127">
        <f t="shared" si="21"/>
        <v>0</v>
      </c>
      <c r="AI31" s="1117">
        <f t="shared" si="21"/>
        <v>12274</v>
      </c>
      <c r="AJ31" s="1117">
        <f t="shared" si="21"/>
        <v>0</v>
      </c>
      <c r="AK31" s="1127">
        <f t="shared" si="21"/>
        <v>0</v>
      </c>
      <c r="AL31" s="1183">
        <f>IF(ISNUMBER(NºAsuntos!G31/NºAsuntos!E31),NºAsuntos!G31/NºAsuntos!E31," - ")</f>
        <v>1.012521343198634</v>
      </c>
      <c r="AM31" s="1184">
        <f>IF(ISNUMBER(((NºAsuntos!I31/NºAsuntos!G31)*11)/factor_trimestre),((NºAsuntos!I31/NºAsuntos!G31)*11)/factor_trimestre," - ")</f>
        <v>2.8730466554243956</v>
      </c>
      <c r="AN31" s="1184">
        <f>IF(ISNUMBER('Resol  Asuntos'!D31/NºAsuntos!G31),'Resol  Asuntos'!D31/NºAsuntos!G31," - ")</f>
        <v>0.17248454187745924</v>
      </c>
      <c r="AO31" s="1185">
        <f>IF(ISNUMBER((NºAsuntos!C31+NºAsuntos!E31)/NºAsuntos!G31),(NºAsuntos!C31+NºAsuntos!E31)/NºAsuntos!G31," - ")</f>
        <v>1.2423271500843169</v>
      </c>
      <c r="AP31" s="1186" t="str">
        <f t="shared" si="2"/>
        <v xml:space="preserve"> - </v>
      </c>
      <c r="AQ31" s="1187">
        <f>IF(OR(ISNUMBER(FIND("01",Criterios!A8,1)),ISNUMBER(FIND("02",Criterios!A8,1)),ISNUMBER(FIND("03",Criterios!A8,1)),ISNUMBER(FIND("04",Criterios!A8,1))),(I31-W31+K31)/(F31-K31),(H31-W31+K31)/(F31-K31))</f>
        <v>-9.2288523090992225</v>
      </c>
      <c r="AR31" s="1188">
        <f>IF(ISNUMBER((Datos!P31-Datos!Q31)/(Datos!R31-Datos!P31+Datos!Q31)),(Datos!P31-Datos!Q31)/(Datos!R31-Datos!P31+Datos!Q31)," - ")</f>
        <v>-0.15324787555811609</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1281.7142857142858</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6.2379708801624254</v>
      </c>
      <c r="F33" s="276">
        <f>IF(ISNUMBER(STDEV(F8:F30)),STDEV(F8:F30),"-")</f>
        <v>2098.9153389310395</v>
      </c>
      <c r="G33" s="277">
        <f>IF(ISNUMBER(STDEV(G8:G30)),STDEV(G8:G30),"-")</f>
        <v>1902.1363177828689</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18428.055222559822</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3032.3743630656454</v>
      </c>
      <c r="AJ33" s="276">
        <f t="shared" si="25"/>
        <v>0</v>
      </c>
      <c r="AK33" s="278">
        <f t="shared" si="25"/>
        <v>0</v>
      </c>
      <c r="AL33" s="273">
        <f t="shared" si="25"/>
        <v>6.3457558411511975E-2</v>
      </c>
      <c r="AM33" s="274">
        <f t="shared" si="25"/>
        <v>2.4130393773198948</v>
      </c>
      <c r="AN33" s="274">
        <f t="shared" si="25"/>
        <v>0.13855677054580337</v>
      </c>
      <c r="AO33" s="275">
        <f t="shared" si="25"/>
        <v>0.21151420598321452</v>
      </c>
      <c r="AP33" s="317" t="str">
        <f t="shared" si="25"/>
        <v>-</v>
      </c>
      <c r="AQ33" s="318">
        <f t="shared" si="25"/>
        <v>5.5030857269351046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3+r9F3fTPP5jsCdBmkvclknqNS+c2hwUJqJxnpaL3nlOJ9QKZymhY54gM3afGsS6FPMZSeJwzjdl0jP8ASzkCg==" saltValue="4eIn0OOJUxRO5+wimIIaI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GRANADA</v>
      </c>
      <c r="E3" s="287"/>
    </row>
    <row r="4" spans="2:20" ht="17.25" customHeight="1" thickBot="1">
      <c r="D4" s="286" t="str">
        <f>Criterios!A11 &amp;"  "&amp;Criterios!B11</f>
        <v>Resumenes por Partidos Judiciales  GRANADA</v>
      </c>
      <c r="E4" s="287"/>
    </row>
    <row r="5" spans="2:20" ht="12.75" customHeight="1">
      <c r="B5" s="297"/>
      <c r="C5" s="1649" t="str">
        <f>"Año:  " &amp;Criterios!B5 &amp; "          Trimestre   " &amp;Criterios!D5 &amp; " al " &amp;Criterios!D6</f>
        <v>Año:  2022          Trimestre   1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-2.5718153105730186E-2</v>
      </c>
      <c r="I9" s="395">
        <f>IF(ISNUMBER((Tasas!C9-Datos!BE9)/Datos!BE9),(Tasas!C9-Datos!BE9)/Datos!BE9," - ")</f>
        <v>-2.2265646607888909E-2</v>
      </c>
      <c r="J9" s="394">
        <f>IF(ISNUMBER((Tasas!D9-Datos!BF9)/Datos!BF9),(Tasas!D9-Datos!BF9)/Datos!BF9," - ")</f>
        <v>-0.39502540802026553</v>
      </c>
      <c r="K9" s="396">
        <f>IF(ISNUMBER((Tasas!E9-Datos!BG9)/Datos!BG9),(Tasas!E9-Datos!BG9)/Datos!BG9," - ")</f>
        <v>-2.7884800430892413E-2</v>
      </c>
      <c r="M9" t="e">
        <f>IF(Monitorios="SI",Datos!CE9,0)</f>
        <v>#REF!</v>
      </c>
      <c r="N9" t="e">
        <f>IF(Monitorios="SI",Datos!CF9,0)</f>
        <v>#REF!</v>
      </c>
      <c r="O9" t="e">
        <f>IF(Monitorios="SI",Datos!CG9,0)</f>
        <v>#REF!</v>
      </c>
      <c r="P9" t="e">
        <f>IF(Monitorios="SI",Datos!CH9,0)</f>
        <v>#REF!</v>
      </c>
      <c r="Q9">
        <f>IF(J_V="SI",0,Datos!AG9)</f>
        <v>372</v>
      </c>
      <c r="R9">
        <f>IF(J_V="SI",0,Datos!AH9)</f>
        <v>3148</v>
      </c>
      <c r="S9">
        <f>IF(J_V="SI",0,Datos!AI9)</f>
        <v>3053</v>
      </c>
      <c r="T9">
        <f>IF(J_V="SI",0,Datos!AJ9)</f>
        <v>477</v>
      </c>
    </row>
    <row r="10" spans="2:20" ht="14.25">
      <c r="B10" s="300" t="s">
        <v>321</v>
      </c>
      <c r="C10" s="7" t="str">
        <f>Datos!A10</f>
        <v>Jdos. Violencia contra la mujer</v>
      </c>
      <c r="D10" s="397">
        <f>IF(ISNUMBER((Datos!I10-Datos!S10)/Datos!S10),(Datos!I10-Datos!S10)/Datos!S10," - ")</f>
        <v>-0.05</v>
      </c>
      <c r="E10" s="393">
        <f>IF(ISNUMBER((Datos!J10-Datos!T10)/Datos!T10),(Datos!J10-Datos!T10)/Datos!T10," - ")</f>
        <v>1.8561484918793503E-2</v>
      </c>
      <c r="F10" s="393">
        <f>IF(ISNUMBER((Datos!K10-Datos!U10)/Datos!U10),(Datos!K10-Datos!U10)/Datos!U10," - ")</f>
        <v>-0.14027149321266968</v>
      </c>
      <c r="G10" s="394">
        <f>IF(ISNUMBER((Datos!L10-Datos!V10)/Datos!V10),(Datos!L10-Datos!V10)/Datos!V10," - ")</f>
        <v>0.28229665071770332</v>
      </c>
      <c r="H10" s="244">
        <f>IF(ISNUMBER((Datos!M10-Datos!W10)/Datos!W10),(Datos!M10-Datos!W10)/Datos!W10," - ")</f>
        <v>-5.9880239520958084E-2</v>
      </c>
      <c r="I10" s="395">
        <f>IF(ISNUMBER((Tasas!C10-Datos!BE10)/Datos!BE10),(Tasas!C10-Datos!BE10)/Datos!BE10," - ")</f>
        <v>0.49151347267690759</v>
      </c>
      <c r="J10" s="394">
        <f>IF(ISNUMBER((Tasas!D10-Datos!BF10)/Datos!BF10),(Tasas!D10-Datos!BF10)/Datos!BF10," - ")</f>
        <v>9.3507721399306701E-2</v>
      </c>
      <c r="K10" s="396">
        <f>IF(ISNUMBER((Tasas!E10-Datos!BG10)/Datos!BG10),(Tasas!E10-Datos!BG10)/Datos!BG10," - ")</f>
        <v>0.1577977201067183</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f>IF(ISNUMBER((Datos!M11-Datos!W11)/Datos!W11),(Datos!M11-Datos!W11)/Datos!W11," - ")</f>
        <v>-0.17698091382301909</v>
      </c>
      <c r="I11" s="395">
        <f>IF(ISNUMBER((Tasas!C11-Datos!BE11)/Datos!BE11),(Tasas!C11-Datos!BE11)/Datos!BE11," - ")</f>
        <v>0.20129964564984992</v>
      </c>
      <c r="J11" s="394">
        <f>IF(ISNUMBER((Tasas!D11-Datos!BF11)/Datos!BF11),(Tasas!D11-Datos!BF11)/Datos!BF11," - ")</f>
        <v>0.56862255052486732</v>
      </c>
      <c r="K11" s="396">
        <f>IF(ISNUMBER((Tasas!E11-Datos!BG11)/Datos!BG11),(Tasas!E11-Datos!BG11)/Datos!BG11," - ")</f>
        <v>4.6569791838386297E-2</v>
      </c>
      <c r="M11" t="e">
        <f>IF(Monitorios="SI",Datos!CE11,0)</f>
        <v>#REF!</v>
      </c>
      <c r="N11" t="e">
        <f>IF(Monitorios="SI",Datos!CF11,0)</f>
        <v>#REF!</v>
      </c>
      <c r="O11" t="e">
        <f>IF(Monitorios="SI",Datos!CG11,0)</f>
        <v>#REF!</v>
      </c>
      <c r="P11" t="e">
        <f>IF(Monitorios="SI",Datos!CH11,0)</f>
        <v>#REF!</v>
      </c>
      <c r="Q11">
        <f>IF(J_V="SI",0,Datos!AG11)</f>
        <v>27</v>
      </c>
      <c r="R11">
        <f>IF(J_V="SI",0,Datos!AH11)</f>
        <v>163</v>
      </c>
      <c r="S11">
        <f>IF(J_V="SI",0,Datos!AI11)</f>
        <v>170</v>
      </c>
      <c r="T11">
        <f>IF(J_V="SI",0,Datos!AJ11)</f>
        <v>20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-5.6992393212404915E-2</v>
      </c>
      <c r="I14" s="402">
        <f>IF(ISNUMBER((Tasas!C14-Datos!BE14)/Datos!BE14),(Tasas!C14-Datos!BE14)/Datos!BE14," - ")</f>
        <v>6.5146913270386648E-3</v>
      </c>
      <c r="J14" s="400">
        <f>IF(ISNUMBER((Tasas!D14-Datos!BF14)/Datos!BF14),(Tasas!D14-Datos!BF14)/Datos!BF14," - ")</f>
        <v>-0.31130418845474217</v>
      </c>
      <c r="K14" s="403">
        <f>IF(ISNUMBER((Tasas!E14-Datos!BG14)/Datos!BG14),(Tasas!E14-Datos!BG14)/Datos!BG14," - ")</f>
        <v>-1.6929309368994044E-2</v>
      </c>
      <c r="M14" t="e">
        <f>IF(Monitorios="SI",Datos!CE14,0)</f>
        <v>#REF!</v>
      </c>
      <c r="N14" t="e">
        <f>IF(Monitorios="SI",Datos!CF14,0)</f>
        <v>#REF!</v>
      </c>
      <c r="O14" t="e">
        <f>IF(Monitorios="SI",Datos!CG14,0)</f>
        <v>#REF!</v>
      </c>
      <c r="P14" t="e">
        <f>IF(Monitorios="SI",Datos!CH14,0)</f>
        <v>#REF!</v>
      </c>
      <c r="Q14">
        <f>IF(J_V="SI",0,Datos!AG14)</f>
        <v>399</v>
      </c>
      <c r="R14">
        <f>IF(J_V="SI",0,Datos!AH14)</f>
        <v>3311</v>
      </c>
      <c r="S14">
        <f>IF(J_V="SI",0,Datos!AI14)</f>
        <v>3223</v>
      </c>
      <c r="T14">
        <f>IF(J_V="SI",0,Datos!AJ14)</f>
        <v>497</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f>IF(ISNUMBER(
   IF(D_I="SI",(Datos!I16-Datos!S16)/Datos!S16,(Datos!I16+Datos!AC16-(Datos!S16+Datos!AK16))/(Datos!S16+Datos!AK16))
     ),IF(D_I="SI",(Datos!I16-Datos!S16)/Datos!S16,(Datos!I16+Datos!AC16-(Datos!S16+Datos!AK16))/(Datos!S16+Datos!AK16))," - ")</f>
        <v>-9.8394614189539105E-3</v>
      </c>
      <c r="E16" s="393">
        <f>IF(ISNUMBER(
   IF(D_I="SI",(Datos!J16-Datos!T16)/Datos!T16,(Datos!J16+Datos!AD16-(Datos!T16+Datos!AL16))/(Datos!T16+Datos!AL16))
     ),IF(D_I="SI",(Datos!J16-Datos!T16)/Datos!T16,(Datos!J16+Datos!AD16-(Datos!T16+Datos!AL16))/(Datos!T16+Datos!AL16))," - ")</f>
        <v>4.4989261707527962E-2</v>
      </c>
      <c r="F16" s="393">
        <f>IF(ISNUMBER(
   IF(D_I="SI",(Datos!K16-Datos!U16)/Datos!U16,(Datos!K16+Datos!AE16-(Datos!U16+Datos!AM16))/(Datos!U16+Datos!AM16))
     ),IF(D_I="SI",(Datos!K16-Datos!U16)/Datos!U16,(Datos!K16+Datos!AE16-(Datos!U16+Datos!AM16))/(Datos!U16+Datos!AM16))," - ")</f>
        <v>1.892788063000829E-2</v>
      </c>
      <c r="G16" s="394">
        <f>IF(ISNUMBER(
   IF(D_I="SI",(Datos!L16-Datos!V16)/Datos!V16,(Datos!L16+Datos!AF16-(Datos!V16+Datos!AN16))/(Datos!V16+Datos!AN16))
     ),IF(D_I="SI",(Datos!L16-Datos!V16)/Datos!V16,(Datos!L16+Datos!AF16-(Datos!V16+Datos!AN16))/(Datos!V16+Datos!AN16))," - ")</f>
        <v>0.24372384937238495</v>
      </c>
      <c r="H16" s="244">
        <f>IF(ISNUMBER((Datos!M16-Datos!W16)/Datos!W16),(Datos!M16-Datos!W16)/Datos!W16," - ")</f>
        <v>-0.02</v>
      </c>
      <c r="I16" s="395">
        <f>IF(ISNUMBER((Tasas!C16-Datos!BE16)/Datos!BE16),(Tasas!C16-Datos!BE16)/Datos!BE16," - ")</f>
        <v>0.22062009786539949</v>
      </c>
      <c r="J16" s="394">
        <f>IF(ISNUMBER((Tasas!D16-Datos!BF16)/Datos!BF16),(Tasas!D16-Datos!BF16)/Datos!BF16," - ")</f>
        <v>-3.8204745762711864E-2</v>
      </c>
      <c r="K16" s="396">
        <f>IF(ISNUMBER((Tasas!E16-Datos!BG16)/Datos!BG16),(Tasas!E16-Datos!BG16)/Datos!BG16," - ")</f>
        <v>2.0344599338080395E-2</v>
      </c>
    </row>
    <row r="17" spans="2:20" ht="14.25">
      <c r="B17" s="300" t="s">
        <v>511</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1.3422818791946308E-2</v>
      </c>
      <c r="E18" s="393">
        <f>IF(ISNUMBER(
   IF(D_I="SI",(Datos!J18-Datos!T18)/Datos!T18,(Datos!J18+Datos!AD18-(Datos!T18+Datos!AL18))/(Datos!T18+Datos!AL18))
     ),IF(D_I="SI",(Datos!J18-Datos!T18)/Datos!T18,(Datos!J18+Datos!AD18-(Datos!T18+Datos!AL18))/(Datos!T18+Datos!AL18))," - ")</f>
        <v>9.6469765816148204E-2</v>
      </c>
      <c r="F18" s="393">
        <f>IF(ISNUMBER(
   IF(D_I="SI",(Datos!K18-Datos!U18)/Datos!U18,(Datos!K18+Datos!AE18-(Datos!U18+Datos!AM18))/(Datos!U18+Datos!AM18))
     ),IF(D_I="SI",(Datos!K18-Datos!U18)/Datos!U18,(Datos!K18+Datos!AE18-(Datos!U18+Datos!AM18))/(Datos!U18+Datos!AM18))," - ")</f>
        <v>8.4698501219937258E-2</v>
      </c>
      <c r="G18" s="394">
        <f>IF(ISNUMBER(
   IF(D_I="SI",(Datos!L18-Datos!V18)/Datos!V18,(Datos!L18+Datos!AF18-(Datos!V18+Datos!AN18))/(Datos!V18+Datos!AN18))
     ),IF(D_I="SI",(Datos!L18-Datos!V18)/Datos!V18,(Datos!L18+Datos!AF18-(Datos!V18+Datos!AN18))/(Datos!V18+Datos!AN18))," - ")</f>
        <v>-0.17880794701986755</v>
      </c>
      <c r="H18" s="244">
        <f>IF(ISNUMBER((Datos!M18-Datos!W18)/Datos!W18),(Datos!M18-Datos!W18)/Datos!W18," - ")</f>
        <v>-3.6832412523020259E-3</v>
      </c>
      <c r="I18" s="395">
        <f>IF(ISNUMBER((Tasas!C18-Datos!BE18)/Datos!BE18),(Tasas!C18-Datos!BE18)/Datos!BE18," - ")</f>
        <v>-0.24293059125964006</v>
      </c>
      <c r="J18" s="394">
        <f>IF(ISNUMBER((Tasas!D18-Datos!BF18)/Datos!BF18),(Tasas!D18-Datos!BF18)/Datos!BF18," - ")</f>
        <v>-8.1480468879451845E-2</v>
      </c>
      <c r="K18" s="396">
        <f>IF(ISNUMBER((Tasas!E18-Datos!BG18)/Datos!BG18),(Tasas!E18-Datos!BG18)/Datos!BG18," - ")</f>
        <v>5.0648424167632747E-4</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-7.4263170109074034E-3</v>
      </c>
      <c r="E23" s="399">
        <f>IF(ISNUMBER(
   IF(D_I="SI",(Datos!J23-Datos!T23)/Datos!T23,(Datos!J23+Datos!AD23-(Datos!T23+Datos!AL23))/(Datos!T23+Datos!AL23))
     ),IF(D_I="SI",(Datos!J23-Datos!T23)/Datos!T23,(Datos!J23+Datos!AD23-(Datos!T23+Datos!AL23))/(Datos!T23+Datos!AL23))," - ")</f>
        <v>4.8793718034819446E-2</v>
      </c>
      <c r="F23" s="399">
        <f>IF(ISNUMBER(
   IF(D_I="SI",(Datos!K23-Datos!U23)/Datos!U23,(Datos!K23+Datos!AE23-(Datos!U23+Datos!AM23))/(Datos!U23+Datos!AM23))
     ),IF(D_I="SI",(Datos!K23-Datos!U23)/Datos!U23,(Datos!K23+Datos!AE23-(Datos!U23+Datos!AM23))/(Datos!U23+Datos!AM23))," - ")</f>
        <v>2.3758928800020482E-2</v>
      </c>
      <c r="G23" s="400">
        <f>IF(ISNUMBER(
   IF(D_I="SI",(Datos!L23-Datos!V23)/Datos!V23,(Datos!L23+Datos!AF23-(Datos!V23+Datos!AN23))/(Datos!V23+Datos!AN23))
     ),IF(D_I="SI",(Datos!L23-Datos!V23)/Datos!V23,(Datos!L23+Datos!AF23-(Datos!V23+Datos!AN23))/(Datos!V23+Datos!AN23))," - ")</f>
        <v>0.19897124152443302</v>
      </c>
      <c r="H23" s="401">
        <f>IF(ISNUMBER((Datos!M23-Datos!W23)/Datos!W23),(Datos!M23-Datos!W23)/Datos!W23," - ")</f>
        <v>-1.7936175168879572E-2</v>
      </c>
      <c r="I23" s="402">
        <f>IF(ISNUMBER((Tasas!C23-Datos!BE23)/Datos!BE23),(Tasas!C23-Datos!BE23)/Datos!BE23," - ")</f>
        <v>0.17114606553887077</v>
      </c>
      <c r="J23" s="400">
        <f>IF(ISNUMBER((Tasas!D23-Datos!BF23)/Datos!BF23),(Tasas!D23-Datos!BF23)/Datos!BF23," - ")</f>
        <v>-4.072746307353059E-2</v>
      </c>
      <c r="K23" s="403">
        <f>IF(ISNUMBER((Tasas!E23-Datos!BG23)/Datos!BG23),(Tasas!E23-Datos!BG23)/Datos!BG23," - ")</f>
        <v>1.8953710684652431E-2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-0.13756840352129432</v>
      </c>
      <c r="E31" s="409">
        <f>IF(ISNUMBER(
   IF(J_V="SI",(Datos!J31-Datos!T31)/Datos!T31,(Datos!J31+Datos!Z31-(Datos!T31+Datos!AH31))/(Datos!T31+Datos!AH31))
     ),IF(J_V="SI",(Datos!J31-Datos!T31)/Datos!T31,(Datos!J31+Datos!Z31-(Datos!T31+Datos!AH31))/(Datos!T31+Datos!AH31))," - ")</f>
        <v>3.5692180730348667E-2</v>
      </c>
      <c r="F31" s="409">
        <f>IF(ISNUMBER(
   IF(J_V="SI",(Datos!K31-Datos!U31)/Datos!U31,(Datos!K31+Datos!AA31-(Datos!U31+Datos!AI31))/(Datos!U31+Datos!AI31))
     ),IF(J_V="SI",(Datos!K31-Datos!U31)/Datos!U31,(Datos!K31+Datos!AA31-(Datos!U31+Datos!AI31))/(Datos!U31+Datos!AI31))," - ")</f>
        <v>-2.5510919234111745E-3</v>
      </c>
      <c r="G31" s="410">
        <f>IF(ISNUMBER(
   IF(J_V="SI",(Datos!L31-Datos!V31)/Datos!V31,(Datos!L31+Datos!AB31-(Datos!V31+Datos!AJ31))/(Datos!V31+Datos!AJ31))
     ),IF(J_V="SI",(Datos!L31-Datos!V31)/Datos!V31,(Datos!L31+Datos!AB31-(Datos!V31+Datos!AJ31))/(Datos!V31+Datos!AJ31))," - ")</f>
        <v>2.5491061575811078E-2</v>
      </c>
      <c r="H31" s="411">
        <f>IF(ISNUMBER((Datos!M31-Datos!W31)/Datos!W31),(Datos!M31-Datos!W31)/Datos!W31," - ")</f>
        <v>-4.3932076647452876E-2</v>
      </c>
      <c r="I31" s="408">
        <f>IF(ISNUMBER((Tasas!C31-Datos!BE31)/Datos!BE31),(Tasas!C31-Datos!BE31)/Datos!BE31," - ")</f>
        <v>2.8113874577592849E-2</v>
      </c>
      <c r="J31" s="409">
        <f>IF(ISNUMBER((Tasas!D31-Datos!BF31)/Datos!BF31),(Tasas!D31-Datos!BF31)/Datos!BF31," - ")</f>
        <v>-0.25012844688472291</v>
      </c>
      <c r="K31" s="410">
        <f>IF(ISNUMBER((Tasas!E31-Datos!BG31)/Datos!BG31),(Tasas!E31-Datos!BG31)/Datos!BG31," - ")</f>
        <v>-2.7330736971257221E-3</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2.6503906467037815E-2</v>
      </c>
      <c r="E33" s="303">
        <f t="shared" si="1"/>
        <v>3.2429201425091023E-2</v>
      </c>
      <c r="F33" s="303">
        <f t="shared" si="1"/>
        <v>9.61442767487561E-2</v>
      </c>
      <c r="G33" s="304">
        <f t="shared" si="1"/>
        <v>0.21297524602725257</v>
      </c>
      <c r="H33" s="310">
        <f t="shared" si="1"/>
        <v>5.904195214803621E-2</v>
      </c>
      <c r="I33" s="302">
        <f t="shared" si="1"/>
        <v>0.2317257178526568</v>
      </c>
      <c r="J33" s="303">
        <f t="shared" si="1"/>
        <v>0.31326431809806637</v>
      </c>
      <c r="K33" s="304">
        <f t="shared" si="1"/>
        <v>6.2221060104015652E-2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PFKvJJ/Ip2Z9lGCmy+c3hJqk03OPjWB8049BsdsSMIhfyx0SAr2Yima7BDWTOj8gsfooF0e3rGJLgQknta4idQ==" saltValue="GWqlW07b2TbLNvCe8HsDe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2023-05-06T07:27:29Z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